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 Szaroleta\Desktop\"/>
    </mc:Choice>
  </mc:AlternateContent>
  <xr:revisionPtr revIDLastSave="0" documentId="8_{94B373D0-3FF1-48CC-AA2B-884C87C5018C}" xr6:coauthVersionLast="47" xr6:coauthVersionMax="47" xr10:uidLastSave="{00000000-0000-0000-0000-000000000000}"/>
  <bookViews>
    <workbookView xWindow="-120" yWindow="-120" windowWidth="29040" windowHeight="15720" xr2:uid="{81428A6D-EAD6-44A1-82A0-966542B4023F}"/>
  </bookViews>
  <sheets>
    <sheet name="TABELA+WYKRES" sheetId="1" r:id="rId1"/>
  </sheets>
  <definedNames>
    <definedName name="_xlnm._FilterDatabase" localSheetId="0" hidden="1">'TABELA+WYKRES'!$A$5:$U$14</definedName>
    <definedName name="_xlnm.Print_Area" localSheetId="0">'TABELA+WYKRES'!$A$1:$BD$31</definedName>
    <definedName name="Z_2158AE25_D2B0_44F0_B26F_60D06CC47A9E_.wvu.Cols" localSheetId="0" hidden="1">'TABELA+WYKRES'!$T:$AJ</definedName>
    <definedName name="Z_2158AE25_D2B0_44F0_B26F_60D06CC47A9E_.wvu.Rows" localSheetId="0" hidden="1">'TABELA+WYKRES'!$3:$3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 i="1" l="1"/>
  <c r="BF2" i="1" l="1"/>
  <c r="BE2" i="1"/>
  <c r="BE1" i="1"/>
  <c r="BF4" i="1" l="1"/>
  <c r="BD7" i="1" l="1"/>
  <c r="BD8" i="1"/>
  <c r="BD9" i="1"/>
  <c r="BD10" i="1"/>
  <c r="BD11" i="1"/>
  <c r="BD12" i="1"/>
  <c r="BD13" i="1"/>
  <c r="BD14" i="1"/>
  <c r="BD6" i="1"/>
  <c r="E12" i="1"/>
  <c r="E13" i="1"/>
  <c r="E14" i="1"/>
  <c r="O276" i="1"/>
  <c r="P276" i="1"/>
  <c r="O277" i="1"/>
  <c r="P277" i="1"/>
  <c r="O278" i="1"/>
  <c r="P278" i="1"/>
  <c r="BB240" i="1"/>
  <c r="BB241" i="1"/>
  <c r="BB242" i="1"/>
  <c r="BB243" i="1"/>
  <c r="BB244" i="1"/>
  <c r="BB245" i="1"/>
  <c r="BB246" i="1"/>
  <c r="BB247" i="1"/>
  <c r="BB248" i="1"/>
  <c r="BF248" i="1"/>
  <c r="BF261" i="1" s="1"/>
  <c r="BG248" i="1"/>
  <c r="BG261" i="1" s="1"/>
  <c r="BH248" i="1"/>
  <c r="BH261" i="1" s="1"/>
  <c r="BI248" i="1"/>
  <c r="BI260" i="1" s="1"/>
  <c r="BJ248" i="1"/>
  <c r="BK248" i="1"/>
  <c r="BK260" i="1" s="1"/>
  <c r="BL248" i="1"/>
  <c r="BL260" i="1" s="1"/>
  <c r="BM248" i="1"/>
  <c r="BM260" i="1" s="1"/>
  <c r="BE248" i="1"/>
  <c r="BE261" i="1" s="1"/>
  <c r="BE14" i="1" l="1"/>
  <c r="BF14" i="1"/>
  <c r="BG14" i="1" s="1"/>
  <c r="BI14" i="1"/>
  <c r="BE12" i="1"/>
  <c r="BI12" i="1"/>
  <c r="BF12" i="1"/>
  <c r="BG12" i="1" s="1"/>
  <c r="BE13" i="1"/>
  <c r="BF13" i="1"/>
  <c r="BG13" i="1" s="1"/>
  <c r="BI13" i="1"/>
  <c r="BG260" i="1"/>
  <c r="BM259" i="1"/>
  <c r="BM262" i="1"/>
  <c r="BM261" i="1"/>
  <c r="BL262" i="1"/>
  <c r="BI262" i="1"/>
  <c r="BH262" i="1"/>
  <c r="BL259" i="1"/>
  <c r="BK259" i="1"/>
  <c r="BL261" i="1"/>
  <c r="BH260" i="1"/>
  <c r="BG262" i="1"/>
  <c r="BF260" i="1"/>
  <c r="BE260" i="1"/>
  <c r="BF262" i="1"/>
  <c r="BE262" i="1"/>
  <c r="BI259" i="1"/>
  <c r="BH259" i="1"/>
  <c r="BI261" i="1"/>
  <c r="BG259" i="1"/>
  <c r="BF259" i="1"/>
  <c r="BE259" i="1"/>
  <c r="BK261" i="1"/>
  <c r="BK262" i="1"/>
  <c r="AY254" i="1" a="1"/>
  <c r="AY254" i="1" s="1"/>
  <c r="BM245" i="1" l="1"/>
  <c r="BL245" i="1"/>
  <c r="BK245" i="1"/>
  <c r="BI245" i="1"/>
  <c r="BH245" i="1"/>
  <c r="BG245" i="1"/>
  <c r="BF245" i="1"/>
  <c r="BE245" i="1"/>
  <c r="BM244" i="1"/>
  <c r="BL244" i="1"/>
  <c r="BK244" i="1"/>
  <c r="BJ244" i="1"/>
  <c r="BI244" i="1"/>
  <c r="BH244" i="1"/>
  <c r="BG244" i="1"/>
  <c r="BF244" i="1"/>
  <c r="BE244" i="1"/>
  <c r="BM243" i="1"/>
  <c r="BM247" i="1" s="1"/>
  <c r="BL243" i="1"/>
  <c r="BL247" i="1" s="1"/>
  <c r="BK243" i="1"/>
  <c r="BI243" i="1"/>
  <c r="BI247" i="1" s="1"/>
  <c r="BH243" i="1"/>
  <c r="BH247" i="1" s="1"/>
  <c r="BG243" i="1"/>
  <c r="BF243" i="1"/>
  <c r="BF247" i="1" s="1"/>
  <c r="BM242" i="1"/>
  <c r="BM246" i="1" s="1"/>
  <c r="BM253" i="1" s="1"/>
  <c r="BM274" i="1" s="1"/>
  <c r="BL242" i="1"/>
  <c r="BK242" i="1"/>
  <c r="BJ242" i="1"/>
  <c r="BI242" i="1"/>
  <c r="BI246" i="1" s="1"/>
  <c r="BI253" i="1" s="1"/>
  <c r="BH242" i="1"/>
  <c r="BG242" i="1"/>
  <c r="BF242" i="1"/>
  <c r="BF246" i="1" s="1"/>
  <c r="BF253" i="1" s="1"/>
  <c r="BF274" i="1" s="1"/>
  <c r="BE242" i="1"/>
  <c r="BE246" i="1" s="1"/>
  <c r="BE253" i="1" s="1"/>
  <c r="BM241" i="1"/>
  <c r="BL241" i="1"/>
  <c r="BK241" i="1"/>
  <c r="BJ241" i="1"/>
  <c r="BI241" i="1"/>
  <c r="BH241" i="1"/>
  <c r="BG241" i="1"/>
  <c r="BF241" i="1"/>
  <c r="BE241" i="1"/>
  <c r="BA248" i="1"/>
  <c r="BA247" i="1"/>
  <c r="BA246" i="1"/>
  <c r="BA245" i="1"/>
  <c r="BJ245" i="1" s="1"/>
  <c r="BA244" i="1"/>
  <c r="BA243" i="1"/>
  <c r="BA242" i="1"/>
  <c r="BA241" i="1"/>
  <c r="BA240" i="1"/>
  <c r="AZ248" i="1"/>
  <c r="AZ247" i="1"/>
  <c r="AZ246" i="1"/>
  <c r="AZ245" i="1"/>
  <c r="AZ244" i="1"/>
  <c r="AZ243" i="1"/>
  <c r="AZ242" i="1"/>
  <c r="AZ241" i="1"/>
  <c r="AZ240" i="1"/>
  <c r="AY248" i="1"/>
  <c r="AY247" i="1"/>
  <c r="AY246" i="1"/>
  <c r="AY245" i="1"/>
  <c r="BJ243" i="1" s="1"/>
  <c r="BJ247" i="1" s="1"/>
  <c r="AY244" i="1"/>
  <c r="AY243" i="1"/>
  <c r="AY242" i="1"/>
  <c r="AY241" i="1"/>
  <c r="AY240" i="1"/>
  <c r="BE243" i="1" s="1"/>
  <c r="AX248" i="1"/>
  <c r="AX247" i="1"/>
  <c r="AX246" i="1"/>
  <c r="AX245" i="1"/>
  <c r="AX244" i="1"/>
  <c r="AX243" i="1"/>
  <c r="AX242" i="1"/>
  <c r="AX241" i="1"/>
  <c r="AX240" i="1"/>
  <c r="AW248" i="1"/>
  <c r="AW247" i="1"/>
  <c r="AW246" i="1"/>
  <c r="AW245" i="1"/>
  <c r="AW244" i="1"/>
  <c r="AW243" i="1"/>
  <c r="AW242" i="1"/>
  <c r="AW241" i="1"/>
  <c r="AW240" i="1"/>
  <c r="AS255" i="1"/>
  <c r="AS256" i="1"/>
  <c r="AS257" i="1"/>
  <c r="AS258" i="1"/>
  <c r="AS259" i="1"/>
  <c r="AS260" i="1"/>
  <c r="AS261" i="1"/>
  <c r="AS262" i="1"/>
  <c r="AS263" i="1"/>
  <c r="AS264" i="1"/>
  <c r="AS254" i="1"/>
  <c r="S255" i="1"/>
  <c r="S256" i="1"/>
  <c r="S257" i="1"/>
  <c r="S258" i="1"/>
  <c r="S259" i="1"/>
  <c r="S260" i="1"/>
  <c r="S261" i="1"/>
  <c r="S262" i="1"/>
  <c r="S263" i="1"/>
  <c r="S264" i="1"/>
  <c r="S254" i="1"/>
  <c r="AU269" i="1" s="1"/>
  <c r="R255" i="1"/>
  <c r="AU255" i="1" s="1"/>
  <c r="T255" i="1"/>
  <c r="U255" i="1"/>
  <c r="V255" i="1"/>
  <c r="W255" i="1"/>
  <c r="AR255" i="1"/>
  <c r="R256" i="1"/>
  <c r="T256" i="1"/>
  <c r="U256" i="1"/>
  <c r="V256" i="1"/>
  <c r="W256" i="1"/>
  <c r="AR256" i="1"/>
  <c r="R257" i="1"/>
  <c r="T257" i="1"/>
  <c r="U257" i="1"/>
  <c r="V257" i="1"/>
  <c r="W257" i="1"/>
  <c r="AR257" i="1"/>
  <c r="R258" i="1"/>
  <c r="T258" i="1"/>
  <c r="U258" i="1"/>
  <c r="V258" i="1"/>
  <c r="W258" i="1"/>
  <c r="AR258" i="1"/>
  <c r="R259" i="1"/>
  <c r="T259" i="1"/>
  <c r="U259" i="1"/>
  <c r="V259" i="1"/>
  <c r="W259" i="1"/>
  <c r="AR259" i="1"/>
  <c r="R260" i="1"/>
  <c r="T260" i="1"/>
  <c r="U260" i="1"/>
  <c r="V260" i="1"/>
  <c r="W260" i="1"/>
  <c r="AR260" i="1"/>
  <c r="R261" i="1"/>
  <c r="T261" i="1"/>
  <c r="U261" i="1"/>
  <c r="V261" i="1"/>
  <c r="W261" i="1"/>
  <c r="AR261" i="1"/>
  <c r="R262" i="1"/>
  <c r="T262" i="1"/>
  <c r="U262" i="1"/>
  <c r="V262" i="1"/>
  <c r="W262" i="1"/>
  <c r="AR262" i="1"/>
  <c r="R263" i="1"/>
  <c r="AU263" i="1" s="1"/>
  <c r="T263" i="1"/>
  <c r="U263" i="1"/>
  <c r="V263" i="1"/>
  <c r="W263" i="1"/>
  <c r="X263" i="1"/>
  <c r="Y263" i="1"/>
  <c r="Z263" i="1"/>
  <c r="AA263" i="1"/>
  <c r="AB263" i="1"/>
  <c r="AR263" i="1"/>
  <c r="R264" i="1"/>
  <c r="T264" i="1"/>
  <c r="U264" i="1"/>
  <c r="V264" i="1"/>
  <c r="W264" i="1"/>
  <c r="X264" i="1"/>
  <c r="Y264" i="1"/>
  <c r="AA264" i="1"/>
  <c r="AB264" i="1"/>
  <c r="AC264" i="1"/>
  <c r="AD264" i="1"/>
  <c r="AF264" i="1"/>
  <c r="AH264" i="1"/>
  <c r="AJ264" i="1"/>
  <c r="AL264" i="1"/>
  <c r="AN264" i="1"/>
  <c r="AP264" i="1"/>
  <c r="AR264" i="1"/>
  <c r="R254" i="1"/>
  <c r="AR254" i="1"/>
  <c r="T254" i="1"/>
  <c r="U254" i="1"/>
  <c r="V254" i="1"/>
  <c r="W254" i="1"/>
  <c r="T265" i="1"/>
  <c r="T266" i="1"/>
  <c r="T268" i="1"/>
  <c r="T269" i="1"/>
  <c r="T270" i="1"/>
  <c r="T271" i="1"/>
  <c r="T272" i="1"/>
  <c r="T273" i="1"/>
  <c r="T274" i="1"/>
  <c r="O254" i="1"/>
  <c r="P254" i="1"/>
  <c r="O255" i="1"/>
  <c r="P255" i="1"/>
  <c r="O256" i="1"/>
  <c r="P256" i="1"/>
  <c r="O257" i="1"/>
  <c r="P257" i="1"/>
  <c r="O258" i="1"/>
  <c r="P258" i="1"/>
  <c r="O259" i="1"/>
  <c r="P259" i="1"/>
  <c r="O260" i="1"/>
  <c r="P260" i="1"/>
  <c r="O261" i="1"/>
  <c r="P261" i="1"/>
  <c r="O262" i="1"/>
  <c r="P262" i="1"/>
  <c r="O263" i="1"/>
  <c r="P263" i="1"/>
  <c r="O264" i="1"/>
  <c r="P264" i="1"/>
  <c r="O265" i="1"/>
  <c r="P265" i="1"/>
  <c r="O266" i="1"/>
  <c r="P266" i="1"/>
  <c r="O268" i="1"/>
  <c r="P268" i="1"/>
  <c r="O269" i="1"/>
  <c r="P269" i="1"/>
  <c r="O270" i="1"/>
  <c r="P270" i="1"/>
  <c r="O271" i="1"/>
  <c r="P271" i="1"/>
  <c r="O272" i="1"/>
  <c r="P272" i="1"/>
  <c r="O273" i="1"/>
  <c r="P273" i="1"/>
  <c r="O274" i="1"/>
  <c r="O275" i="1" s="1"/>
  <c r="P274" i="1"/>
  <c r="P275" i="1" s="1"/>
  <c r="N263" i="1"/>
  <c r="N264" i="1"/>
  <c r="N265" i="1" s="1"/>
  <c r="N266" i="1" s="1"/>
  <c r="N268" i="1"/>
  <c r="N269" i="1" s="1"/>
  <c r="N270" i="1"/>
  <c r="N271" i="1"/>
  <c r="N272" i="1" s="1"/>
  <c r="N273" i="1" s="1"/>
  <c r="N274" i="1" s="1"/>
  <c r="N259" i="1"/>
  <c r="N260" i="1" s="1"/>
  <c r="N261" i="1" s="1"/>
  <c r="N262" i="1" s="1"/>
  <c r="N254" i="1"/>
  <c r="N255" i="1" s="1"/>
  <c r="N256" i="1" s="1"/>
  <c r="N257" i="1" s="1"/>
  <c r="BE247" i="1" l="1"/>
  <c r="BG247" i="1"/>
  <c r="AU261" i="1"/>
  <c r="AU258" i="1"/>
  <c r="AU268" i="1"/>
  <c r="AU265" i="1"/>
  <c r="BM269" i="1"/>
  <c r="BG246" i="1"/>
  <c r="BG253" i="1" s="1"/>
  <c r="BH246" i="1"/>
  <c r="BH253" i="1" s="1"/>
  <c r="BH269" i="1" s="1"/>
  <c r="BK247" i="1"/>
  <c r="BI273" i="1"/>
  <c r="BM268" i="1"/>
  <c r="BM273" i="1"/>
  <c r="BM272" i="1"/>
  <c r="BF273" i="1"/>
  <c r="BM270" i="1"/>
  <c r="BJ246" i="1"/>
  <c r="BJ253" i="1" s="1"/>
  <c r="BJ270" i="1" s="1"/>
  <c r="BM267" i="1"/>
  <c r="BF269" i="1"/>
  <c r="BI271" i="1"/>
  <c r="BF268" i="1"/>
  <c r="BI272" i="1"/>
  <c r="BE274" i="1"/>
  <c r="BI270" i="1"/>
  <c r="BM271" i="1"/>
  <c r="BF270" i="1"/>
  <c r="BI269" i="1"/>
  <c r="BE270" i="1"/>
  <c r="BF271" i="1"/>
  <c r="BI268" i="1"/>
  <c r="BE271" i="1"/>
  <c r="BI274" i="1"/>
  <c r="BF272" i="1"/>
  <c r="BE272" i="1"/>
  <c r="BE273" i="1"/>
  <c r="BE269" i="1"/>
  <c r="BE268" i="1"/>
  <c r="AU262" i="1"/>
  <c r="AU272" i="1"/>
  <c r="AU259" i="1"/>
  <c r="AU271" i="1"/>
  <c r="AU270" i="1"/>
  <c r="BK246" i="1"/>
  <c r="BK253" i="1" s="1"/>
  <c r="BL246" i="1"/>
  <c r="BL253" i="1" s="1"/>
  <c r="AU266" i="1"/>
  <c r="AU257" i="1"/>
  <c r="AU267" i="1"/>
  <c r="AU260" i="1"/>
  <c r="AU254" i="1"/>
  <c r="AU264" i="1"/>
  <c r="AU256" i="1"/>
  <c r="AU274" i="1"/>
  <c r="AU273" i="1"/>
  <c r="BM275" i="1"/>
  <c r="BE275" i="1"/>
  <c r="BF275" i="1"/>
  <c r="BI275" i="1"/>
  <c r="N258" i="1"/>
  <c r="BH272" i="1" l="1"/>
  <c r="BH275" i="1"/>
  <c r="BG268" i="1"/>
  <c r="BG273" i="1"/>
  <c r="BG269" i="1"/>
  <c r="BG272" i="1"/>
  <c r="BG275" i="1"/>
  <c r="BG271" i="1"/>
  <c r="BG270" i="1"/>
  <c r="BH273" i="1"/>
  <c r="BH271" i="1"/>
  <c r="BH274" i="1"/>
  <c r="BH268" i="1"/>
  <c r="BH270" i="1"/>
  <c r="BG274" i="1"/>
  <c r="BJ268" i="1"/>
  <c r="BJ269" i="1"/>
  <c r="BJ275" i="1"/>
  <c r="BJ274" i="1"/>
  <c r="BJ273" i="1"/>
  <c r="BJ272" i="1"/>
  <c r="BJ271" i="1"/>
  <c r="BM257" i="1"/>
  <c r="BM265" i="1"/>
  <c r="BM258" i="1"/>
  <c r="BM266" i="1"/>
  <c r="BM264" i="1"/>
  <c r="BM255" i="1"/>
  <c r="BM250" i="1"/>
  <c r="BM254" i="1"/>
  <c r="BM263" i="1"/>
  <c r="BM256" i="1"/>
  <c r="BF267" i="1"/>
  <c r="BI267" i="1"/>
  <c r="BE267" i="1"/>
  <c r="BE257" i="1" s="1"/>
  <c r="BL270" i="1"/>
  <c r="BL268" i="1"/>
  <c r="BL269" i="1"/>
  <c r="BL272" i="1"/>
  <c r="BL274" i="1"/>
  <c r="BL271" i="1"/>
  <c r="BL273" i="1"/>
  <c r="BK271" i="1"/>
  <c r="BK269" i="1"/>
  <c r="BK272" i="1"/>
  <c r="BK274" i="1"/>
  <c r="BK268" i="1"/>
  <c r="BK273" i="1"/>
  <c r="BK270" i="1"/>
  <c r="BL275" i="1"/>
  <c r="BK275" i="1"/>
  <c r="AV7" i="1"/>
  <c r="AV8" i="1"/>
  <c r="AV9" i="1"/>
  <c r="AV10" i="1"/>
  <c r="AV11" i="1"/>
  <c r="AV12" i="1"/>
  <c r="AV13" i="1"/>
  <c r="AV14" i="1"/>
  <c r="AR14" i="1"/>
  <c r="AP14" i="1"/>
  <c r="AO14" i="1"/>
  <c r="AQ14" i="1" s="1"/>
  <c r="O14" i="1"/>
  <c r="X262" i="1" s="1"/>
  <c r="AP13" i="1"/>
  <c r="AO13" i="1"/>
  <c r="AP12" i="1"/>
  <c r="AO12" i="1"/>
  <c r="AP11" i="1"/>
  <c r="AO11" i="1"/>
  <c r="AP10" i="1"/>
  <c r="AO10" i="1"/>
  <c r="AP9" i="1"/>
  <c r="AO9" i="1"/>
  <c r="AQ9" i="1" s="1"/>
  <c r="AP8" i="1"/>
  <c r="AO8" i="1"/>
  <c r="AP7" i="1"/>
  <c r="AO7" i="1"/>
  <c r="AO2" i="1"/>
  <c r="AV6" i="1"/>
  <c r="AP6" i="1"/>
  <c r="AO6" i="1"/>
  <c r="AQ6" i="1" s="1"/>
  <c r="O6" i="1" s="1"/>
  <c r="X254" i="1" s="1"/>
  <c r="AR5" i="1"/>
  <c r="AL2" i="1"/>
  <c r="Q2" i="1" s="1"/>
  <c r="AK2" i="1"/>
  <c r="BH267" i="1" l="1"/>
  <c r="BH257" i="1" s="1"/>
  <c r="BG267" i="1"/>
  <c r="BG257" i="1" s="1"/>
  <c r="BJ267" i="1"/>
  <c r="BJ260" i="1" s="1"/>
  <c r="BJ264" i="1"/>
  <c r="BJ256" i="1"/>
  <c r="BJ259" i="1"/>
  <c r="BJ263" i="1"/>
  <c r="BJ262" i="1"/>
  <c r="BJ255" i="1"/>
  <c r="BJ250" i="1"/>
  <c r="BJ257" i="1"/>
  <c r="BJ266" i="1"/>
  <c r="BJ261" i="1"/>
  <c r="BJ254" i="1"/>
  <c r="BJ258" i="1"/>
  <c r="BJ265" i="1"/>
  <c r="BI264" i="1"/>
  <c r="BI256" i="1"/>
  <c r="BI265" i="1"/>
  <c r="BI254" i="1"/>
  <c r="BI263" i="1"/>
  <c r="BI255" i="1"/>
  <c r="BI250" i="1"/>
  <c r="BI257" i="1"/>
  <c r="BI266" i="1"/>
  <c r="BI258" i="1"/>
  <c r="BF256" i="1"/>
  <c r="BF255" i="1"/>
  <c r="BF266" i="1"/>
  <c r="BF258" i="1"/>
  <c r="BF250" i="1"/>
  <c r="BF257" i="1"/>
  <c r="BF265" i="1"/>
  <c r="BF263" i="1"/>
  <c r="BF264" i="1"/>
  <c r="BF254" i="1"/>
  <c r="BH266" i="1"/>
  <c r="BH264" i="1"/>
  <c r="BH254" i="1"/>
  <c r="BH265" i="1"/>
  <c r="BH250" i="1"/>
  <c r="BH263" i="1"/>
  <c r="BH256" i="1"/>
  <c r="BH255" i="1"/>
  <c r="BH258" i="1"/>
  <c r="BE258" i="1"/>
  <c r="BE265" i="1"/>
  <c r="BE263" i="1"/>
  <c r="BE256" i="1"/>
  <c r="BE255" i="1"/>
  <c r="BE250" i="1"/>
  <c r="BE266" i="1"/>
  <c r="BE264" i="1"/>
  <c r="BE254" i="1"/>
  <c r="BG250" i="1"/>
  <c r="BG265" i="1"/>
  <c r="BG263" i="1"/>
  <c r="BG266" i="1"/>
  <c r="BG256" i="1"/>
  <c r="BG255" i="1"/>
  <c r="BG264" i="1"/>
  <c r="BG258" i="1"/>
  <c r="BG254" i="1"/>
  <c r="BG252" i="1" s="1" a="1"/>
  <c r="BG252" i="1" s="1"/>
  <c r="BL267" i="1"/>
  <c r="BL257" i="1" s="1"/>
  <c r="BM252" i="1" a="1"/>
  <c r="BM252" i="1" s="1"/>
  <c r="BK267" i="1"/>
  <c r="AT11" i="1"/>
  <c r="AS11" i="1" s="1"/>
  <c r="AW11" i="1" s="1"/>
  <c r="AT6" i="1"/>
  <c r="AS6" i="1" s="1"/>
  <c r="AW6" i="1" s="1"/>
  <c r="AT14" i="1"/>
  <c r="AT13" i="1"/>
  <c r="AT12" i="1"/>
  <c r="AS12" i="1" s="1"/>
  <c r="AW12" i="1" s="1"/>
  <c r="AS14" i="1"/>
  <c r="AW14" i="1" s="1"/>
  <c r="AT9" i="1"/>
  <c r="AS9" i="1" s="1"/>
  <c r="AT8" i="1"/>
  <c r="AS8" i="1" s="1"/>
  <c r="AW8" i="1" s="1"/>
  <c r="AT10" i="1"/>
  <c r="AS10" i="1" s="1"/>
  <c r="AW10" i="1" s="1"/>
  <c r="R2" i="1"/>
  <c r="AT2" i="1"/>
  <c r="Q3" i="1" s="1"/>
  <c r="AR10" i="1"/>
  <c r="AQ13" i="1"/>
  <c r="O13" i="1" s="1"/>
  <c r="X261" i="1" s="1"/>
  <c r="AR13" i="1"/>
  <c r="AR12" i="1"/>
  <c r="AQ11" i="1"/>
  <c r="O11" i="1" s="1"/>
  <c r="X259" i="1" s="1"/>
  <c r="AR7" i="1"/>
  <c r="AQ8" i="1"/>
  <c r="O8" i="1" s="1"/>
  <c r="X256" i="1" s="1"/>
  <c r="AQ10" i="1"/>
  <c r="O10" i="1" s="1"/>
  <c r="X258" i="1" s="1"/>
  <c r="O9" i="1"/>
  <c r="X257" i="1" s="1"/>
  <c r="AQ7" i="1"/>
  <c r="AT7" i="1" s="1"/>
  <c r="AS7" i="1" s="1"/>
  <c r="AR9" i="1"/>
  <c r="AQ12" i="1"/>
  <c r="AR6" i="1"/>
  <c r="AR8" i="1"/>
  <c r="AR11" i="1"/>
  <c r="BI252" i="1" l="1" a="1"/>
  <c r="BI252" i="1" s="1"/>
  <c r="BI249" i="1" s="1"/>
  <c r="AW9" i="1"/>
  <c r="AU7" i="1"/>
  <c r="AW7" i="1"/>
  <c r="BH252" i="1" a="1"/>
  <c r="BH252" i="1" s="1"/>
  <c r="BH249" i="1" s="1"/>
  <c r="BF252" i="1" a="1"/>
  <c r="BF252" i="1" s="1"/>
  <c r="BF249" i="1" s="1"/>
  <c r="BK254" i="1"/>
  <c r="BK256" i="1"/>
  <c r="BK265" i="1"/>
  <c r="BK258" i="1"/>
  <c r="BK255" i="1"/>
  <c r="BK250" i="1"/>
  <c r="BK266" i="1"/>
  <c r="BK257" i="1"/>
  <c r="BK264" i="1"/>
  <c r="BK263" i="1"/>
  <c r="BM249" i="1"/>
  <c r="BC248" i="1"/>
  <c r="BL265" i="1"/>
  <c r="BL256" i="1"/>
  <c r="BL263" i="1"/>
  <c r="BL266" i="1"/>
  <c r="BL255" i="1"/>
  <c r="BL250" i="1"/>
  <c r="BL264" i="1"/>
  <c r="BL254" i="1"/>
  <c r="BL258" i="1"/>
  <c r="BG249" i="1"/>
  <c r="BC242" i="1"/>
  <c r="E8" i="1" s="1"/>
  <c r="BE252" i="1" a="1"/>
  <c r="BE252" i="1" s="1"/>
  <c r="BJ252" i="1" a="1"/>
  <c r="BJ252" i="1" s="1"/>
  <c r="P10" i="1"/>
  <c r="P12" i="1"/>
  <c r="P11" i="1"/>
  <c r="P14" i="1"/>
  <c r="P9" i="1"/>
  <c r="P8" i="1"/>
  <c r="P13" i="1"/>
  <c r="P7" i="1"/>
  <c r="P6" i="1"/>
  <c r="AU12" i="1"/>
  <c r="AU11" i="1"/>
  <c r="AU9" i="1"/>
  <c r="AU10" i="1"/>
  <c r="AU8" i="1"/>
  <c r="AU14" i="1"/>
  <c r="AU6" i="1"/>
  <c r="AS13" i="1"/>
  <c r="AW13" i="1" s="1"/>
  <c r="O12" i="1"/>
  <c r="X260" i="1" s="1"/>
  <c r="O7" i="1"/>
  <c r="X255" i="1" s="1"/>
  <c r="BC244" i="1" l="1"/>
  <c r="E10" i="1" s="1"/>
  <c r="BF10" i="1" s="1"/>
  <c r="BG10" i="1" s="1"/>
  <c r="BH10" i="1" s="1"/>
  <c r="BC243" i="1"/>
  <c r="E9" i="1" s="1"/>
  <c r="BI9" i="1" s="1"/>
  <c r="AY14" i="1"/>
  <c r="BF8" i="1"/>
  <c r="BG8" i="1" s="1"/>
  <c r="BE8" i="1"/>
  <c r="BI8" i="1"/>
  <c r="BE9" i="1"/>
  <c r="BC241" i="1"/>
  <c r="E7" i="1" s="1"/>
  <c r="Q7" i="1"/>
  <c r="Z255" i="1" s="1"/>
  <c r="BH8" i="1"/>
  <c r="Q8" i="1" s="1"/>
  <c r="Q6" i="1"/>
  <c r="BH12" i="1"/>
  <c r="BH13" i="1"/>
  <c r="Q13" i="1" s="1"/>
  <c r="BH14" i="1"/>
  <c r="Q14" i="1" s="1"/>
  <c r="AX14" i="1"/>
  <c r="AZ14" i="1"/>
  <c r="BL252" i="1" a="1"/>
  <c r="BL252" i="1" s="1"/>
  <c r="BL249" i="1" s="1"/>
  <c r="AX12" i="1"/>
  <c r="AY12" i="1" s="1"/>
  <c r="AX13" i="1"/>
  <c r="BK252" i="1" a="1"/>
  <c r="BK252" i="1" s="1"/>
  <c r="BK249" i="1" s="1"/>
  <c r="BC240" i="1"/>
  <c r="E6" i="1" s="1"/>
  <c r="BE249" i="1"/>
  <c r="BJ249" i="1"/>
  <c r="BC245" i="1"/>
  <c r="E11" i="1" s="1"/>
  <c r="Y255" i="1"/>
  <c r="AX7" i="1"/>
  <c r="AY7" i="1" s="1"/>
  <c r="Y258" i="1"/>
  <c r="AX10" i="1"/>
  <c r="AY10" i="1" s="1"/>
  <c r="Y254" i="1"/>
  <c r="AX8" i="1"/>
  <c r="AY8" i="1" s="1"/>
  <c r="Y256" i="1"/>
  <c r="Y262" i="1"/>
  <c r="Y261" i="1"/>
  <c r="Y257" i="1"/>
  <c r="AX9" i="1"/>
  <c r="AY9" i="1" s="1"/>
  <c r="AZ9" i="1" s="1"/>
  <c r="Y259" i="1"/>
  <c r="Y260" i="1"/>
  <c r="AW34" i="1"/>
  <c r="AW5" i="1" s="1"/>
  <c r="AU13" i="1"/>
  <c r="AU34" i="1" s="1"/>
  <c r="AU5" i="1" s="1"/>
  <c r="AS34" i="1"/>
  <c r="AS5" i="1" s="1"/>
  <c r="BI10" i="1" l="1"/>
  <c r="BE10" i="1"/>
  <c r="BF9" i="1"/>
  <c r="BG9" i="1" s="1"/>
  <c r="BH9" i="1" s="1"/>
  <c r="Q9" i="1" s="1"/>
  <c r="AK9" i="1" s="1"/>
  <c r="AX11" i="1"/>
  <c r="AY11" i="1" s="1"/>
  <c r="AZ11" i="1" s="1"/>
  <c r="BE11" i="1"/>
  <c r="BF11" i="1"/>
  <c r="BG11" i="1" s="1"/>
  <c r="BH11" i="1" s="1"/>
  <c r="Q11" i="1" s="1"/>
  <c r="AK11" i="1" s="1"/>
  <c r="BI11" i="1"/>
  <c r="AX6" i="1"/>
  <c r="BA6" i="1" s="1"/>
  <c r="BB6" i="1" s="1"/>
  <c r="BI6" i="1"/>
  <c r="BE6" i="1"/>
  <c r="BF6" i="1"/>
  <c r="BG6" i="1" s="1"/>
  <c r="BH6" i="1" s="1"/>
  <c r="BI7" i="1"/>
  <c r="BF7" i="1"/>
  <c r="BG7" i="1" s="1"/>
  <c r="BH7" i="1" s="1"/>
  <c r="BE7" i="1"/>
  <c r="BC247" i="1"/>
  <c r="AY13" i="1"/>
  <c r="Q10" i="1"/>
  <c r="Z258" i="1" s="1"/>
  <c r="Q12" i="1"/>
  <c r="Z260" i="1" s="1"/>
  <c r="AZ8" i="1"/>
  <c r="AZ10" i="1"/>
  <c r="AZ7" i="1"/>
  <c r="AZ12" i="1"/>
  <c r="AZ13" i="1"/>
  <c r="AK7" i="1"/>
  <c r="BC246" i="1"/>
  <c r="AK14" i="1"/>
  <c r="Z262" i="1"/>
  <c r="AK8" i="1"/>
  <c r="Z256" i="1"/>
  <c r="AK6" i="1"/>
  <c r="Z254" i="1"/>
  <c r="AK13" i="1"/>
  <c r="Z261" i="1"/>
  <c r="Z259" i="1" l="1"/>
  <c r="Z257" i="1"/>
  <c r="AY6" i="1"/>
  <c r="AZ6" i="1" s="1"/>
  <c r="AK12" i="1"/>
  <c r="AK10" i="1"/>
  <c r="Q16" i="1"/>
  <c r="U12" i="1" s="1"/>
  <c r="U11" i="1" l="1"/>
  <c r="AD259" i="1" s="1"/>
  <c r="U7" i="1"/>
  <c r="V7" i="1" s="1"/>
  <c r="AE255" i="1" s="1"/>
  <c r="U15" i="1"/>
  <c r="V15" i="1" s="1"/>
  <c r="AE263" i="1" s="1"/>
  <c r="U14" i="1"/>
  <c r="V14" i="1" s="1"/>
  <c r="AE262" i="1" s="1"/>
  <c r="U6" i="1"/>
  <c r="V6" i="1" s="1"/>
  <c r="AE254" i="1" s="1"/>
  <c r="U8" i="1"/>
  <c r="V8" i="1" s="1"/>
  <c r="AE256" i="1" s="1"/>
  <c r="U10" i="1"/>
  <c r="AD258" i="1" s="1"/>
  <c r="U13" i="1"/>
  <c r="V13" i="1" s="1"/>
  <c r="AE261" i="1" s="1"/>
  <c r="U9" i="1"/>
  <c r="V9" i="1" s="1"/>
  <c r="AE257" i="1" s="1"/>
  <c r="Z264" i="1"/>
  <c r="V12" i="1"/>
  <c r="AE260" i="1" s="1"/>
  <c r="AD260" i="1"/>
  <c r="AD256" i="1"/>
  <c r="AD255" i="1" l="1"/>
  <c r="V10" i="1"/>
  <c r="AE258" i="1" s="1"/>
  <c r="V11" i="1"/>
  <c r="AE259" i="1" s="1"/>
  <c r="AD257" i="1"/>
  <c r="AD263" i="1"/>
  <c r="AD261" i="1"/>
  <c r="AD254" i="1"/>
  <c r="AD262" i="1"/>
  <c r="V16" i="1" l="1"/>
  <c r="AE264" i="1" s="1"/>
  <c r="W13" i="1" l="1"/>
  <c r="X13" i="1" s="1"/>
  <c r="AG261" i="1" s="1"/>
  <c r="W12" i="1"/>
  <c r="AF260" i="1" s="1"/>
  <c r="W7" i="1"/>
  <c r="AF255" i="1" s="1"/>
  <c r="W15" i="1"/>
  <c r="X15" i="1" s="1"/>
  <c r="AG263" i="1" s="1"/>
  <c r="W14" i="1"/>
  <c r="X14" i="1" s="1"/>
  <c r="AG262" i="1" s="1"/>
  <c r="W6" i="1"/>
  <c r="X6" i="1" s="1"/>
  <c r="AG254" i="1" s="1"/>
  <c r="W10" i="1"/>
  <c r="X10" i="1" s="1"/>
  <c r="AG258" i="1" s="1"/>
  <c r="W9" i="1"/>
  <c r="X9" i="1" s="1"/>
  <c r="AG257" i="1" s="1"/>
  <c r="W8" i="1"/>
  <c r="X8" i="1" s="1"/>
  <c r="AG256" i="1" s="1"/>
  <c r="W11" i="1"/>
  <c r="X11" i="1" s="1"/>
  <c r="AG259" i="1" s="1"/>
  <c r="AF258" i="1"/>
  <c r="AF256" i="1"/>
  <c r="AF263" i="1"/>
  <c r="AF254" i="1"/>
  <c r="X7" i="1"/>
  <c r="AG255" i="1" s="1"/>
  <c r="AF259" i="1" l="1"/>
  <c r="X12" i="1"/>
  <c r="AG260" i="1" s="1"/>
  <c r="AF262" i="1"/>
  <c r="AF257" i="1"/>
  <c r="AF261" i="1"/>
  <c r="X16" i="1"/>
  <c r="AG264" i="1" s="1"/>
  <c r="Y8" i="1" l="1"/>
  <c r="AH256" i="1" s="1"/>
  <c r="Y15" i="1"/>
  <c r="AH263" i="1" s="1"/>
  <c r="Y6" i="1"/>
  <c r="AH254" i="1" s="1"/>
  <c r="Y9" i="1"/>
  <c r="AH257" i="1" s="1"/>
  <c r="Y10" i="1"/>
  <c r="AH258" i="1" s="1"/>
  <c r="Y12" i="1"/>
  <c r="AH260" i="1" s="1"/>
  <c r="Y11" i="1"/>
  <c r="AH259" i="1" s="1"/>
  <c r="Y14" i="1"/>
  <c r="AH262" i="1" s="1"/>
  <c r="Y13" i="1"/>
  <c r="AH261" i="1" s="1"/>
  <c r="Y7" i="1"/>
  <c r="AH255" i="1" s="1"/>
  <c r="Z13" i="1"/>
  <c r="AI261" i="1" s="1"/>
  <c r="Z12" i="1" l="1"/>
  <c r="AI260" i="1" s="1"/>
  <c r="Z10" i="1"/>
  <c r="AI258" i="1" s="1"/>
  <c r="Z6" i="1"/>
  <c r="AI254" i="1" s="1"/>
  <c r="Z14" i="1"/>
  <c r="AI262" i="1" s="1"/>
  <c r="Z11" i="1"/>
  <c r="AI259" i="1" s="1"/>
  <c r="Z9" i="1"/>
  <c r="AI257" i="1" s="1"/>
  <c r="Z15" i="1"/>
  <c r="AI263" i="1" s="1"/>
  <c r="Z8" i="1"/>
  <c r="AI256" i="1" s="1"/>
  <c r="Z7" i="1"/>
  <c r="AI255" i="1" s="1"/>
  <c r="Z16" i="1" l="1"/>
  <c r="AI264" i="1" s="1"/>
  <c r="AA7" i="1" l="1"/>
  <c r="AJ255" i="1" s="1"/>
  <c r="AA9" i="1"/>
  <c r="AJ257" i="1" s="1"/>
  <c r="AA15" i="1"/>
  <c r="AJ263" i="1" s="1"/>
  <c r="AA13" i="1"/>
  <c r="AJ261" i="1" s="1"/>
  <c r="AA14" i="1"/>
  <c r="AJ262" i="1" s="1"/>
  <c r="AA10" i="1"/>
  <c r="AJ258" i="1" s="1"/>
  <c r="AA12" i="1"/>
  <c r="AJ260" i="1" s="1"/>
  <c r="AA8" i="1"/>
  <c r="AJ256" i="1" s="1"/>
  <c r="AA11" i="1"/>
  <c r="AJ259" i="1" s="1"/>
  <c r="AA6" i="1"/>
  <c r="AJ254" i="1" s="1"/>
  <c r="AB12" i="1"/>
  <c r="AK260" i="1" s="1"/>
  <c r="AB13" i="1"/>
  <c r="AK261" i="1" s="1"/>
  <c r="AB14" i="1" l="1"/>
  <c r="AK262" i="1" s="1"/>
  <c r="AB11" i="1"/>
  <c r="AK259" i="1" s="1"/>
  <c r="AB10" i="1"/>
  <c r="AK258" i="1" s="1"/>
  <c r="AB15" i="1"/>
  <c r="AK263" i="1" s="1"/>
  <c r="AB8" i="1"/>
  <c r="AK256" i="1" s="1"/>
  <c r="AB7" i="1"/>
  <c r="AK255" i="1" s="1"/>
  <c r="AB9" i="1"/>
  <c r="AK257" i="1" s="1"/>
  <c r="AB6" i="1"/>
  <c r="AK254" i="1" s="1"/>
  <c r="AB16" i="1" l="1"/>
  <c r="AK264" i="1" s="1"/>
  <c r="AC7" i="1" l="1"/>
  <c r="AL255" i="1" s="1"/>
  <c r="AC15" i="1"/>
  <c r="AL263" i="1" s="1"/>
  <c r="AC10" i="1"/>
  <c r="AL258" i="1" s="1"/>
  <c r="AC11" i="1"/>
  <c r="AL259" i="1" s="1"/>
  <c r="AC14" i="1"/>
  <c r="AL262" i="1" s="1"/>
  <c r="AC9" i="1"/>
  <c r="AL257" i="1" s="1"/>
  <c r="AC6" i="1"/>
  <c r="AL254" i="1" s="1"/>
  <c r="AC12" i="1"/>
  <c r="AL260" i="1" s="1"/>
  <c r="AC8" i="1"/>
  <c r="AL256" i="1" s="1"/>
  <c r="AC13" i="1"/>
  <c r="AD13" i="1" s="1"/>
  <c r="AM261" i="1" s="1"/>
  <c r="AD14" i="1"/>
  <c r="AM262" i="1" s="1"/>
  <c r="AD6" i="1"/>
  <c r="AM254" i="1" s="1"/>
  <c r="AD8" i="1" l="1"/>
  <c r="AM256" i="1" s="1"/>
  <c r="AL261" i="1"/>
  <c r="AD15" i="1"/>
  <c r="AM263" i="1" s="1"/>
  <c r="AD11" i="1"/>
  <c r="AM259" i="1" s="1"/>
  <c r="AD10" i="1"/>
  <c r="AM258" i="1" s="1"/>
  <c r="AD7" i="1"/>
  <c r="AM255" i="1" s="1"/>
  <c r="AD12" i="1"/>
  <c r="AM260" i="1" s="1"/>
  <c r="AD9" i="1"/>
  <c r="AM257" i="1" s="1"/>
  <c r="AD16" i="1" l="1"/>
  <c r="AM264" i="1" s="1"/>
  <c r="AE13" i="1" l="1"/>
  <c r="AN261" i="1" s="1"/>
  <c r="AE6" i="1"/>
  <c r="AE7" i="1"/>
  <c r="AF7" i="1" s="1"/>
  <c r="AO255" i="1" s="1"/>
  <c r="AE9" i="1"/>
  <c r="AN257" i="1" s="1"/>
  <c r="AE11" i="1"/>
  <c r="AE14" i="1"/>
  <c r="AN262" i="1" s="1"/>
  <c r="AE8" i="1"/>
  <c r="AF8" i="1" s="1"/>
  <c r="AO256" i="1" s="1"/>
  <c r="AE10" i="1"/>
  <c r="AF10" i="1" s="1"/>
  <c r="AO258" i="1" s="1"/>
  <c r="AE15" i="1"/>
  <c r="AF15" i="1" s="1"/>
  <c r="AO263" i="1" s="1"/>
  <c r="AE12" i="1"/>
  <c r="AF12" i="1" s="1"/>
  <c r="AO260" i="1" s="1"/>
  <c r="AF11" i="1"/>
  <c r="AO259" i="1" s="1"/>
  <c r="AN259" i="1"/>
  <c r="AF6" i="1"/>
  <c r="AO254" i="1" s="1"/>
  <c r="AN254" i="1"/>
  <c r="AN255" i="1" l="1"/>
  <c r="AF13" i="1"/>
  <c r="AO261" i="1" s="1"/>
  <c r="AN260" i="1"/>
  <c r="AN258" i="1"/>
  <c r="AN263" i="1"/>
  <c r="AF9" i="1"/>
  <c r="AO257" i="1" s="1"/>
  <c r="AF14" i="1"/>
  <c r="AO262" i="1" s="1"/>
  <c r="AN256" i="1"/>
  <c r="AF16" i="1" l="1"/>
  <c r="AO264" i="1" s="1"/>
  <c r="AG15" i="1" l="1"/>
  <c r="AP263" i="1" s="1"/>
  <c r="AG6" i="1"/>
  <c r="AP254" i="1" s="1"/>
  <c r="AG14" i="1"/>
  <c r="AG10" i="1"/>
  <c r="AP258" i="1" s="1"/>
  <c r="AG7" i="1"/>
  <c r="AG12" i="1"/>
  <c r="AG11" i="1"/>
  <c r="AP259" i="1" s="1"/>
  <c r="AG9" i="1"/>
  <c r="AG8" i="1"/>
  <c r="AG13" i="1"/>
  <c r="AP261" i="1" s="1"/>
  <c r="AH10" i="1"/>
  <c r="AQ258" i="1" s="1"/>
  <c r="AH11" i="1"/>
  <c r="AQ259" i="1" s="1"/>
  <c r="AH6" i="1"/>
  <c r="AQ254" i="1" s="1"/>
  <c r="AH15" i="1" l="1"/>
  <c r="AQ263" i="1" s="1"/>
  <c r="AH13" i="1"/>
  <c r="AQ261" i="1" s="1"/>
  <c r="AP257" i="1"/>
  <c r="AH9" i="1"/>
  <c r="AQ257" i="1" s="1"/>
  <c r="AP255" i="1"/>
  <c r="AH7" i="1"/>
  <c r="AQ255" i="1" s="1"/>
  <c r="AP262" i="1"/>
  <c r="AH14" i="1"/>
  <c r="AQ262" i="1" s="1"/>
  <c r="AP260" i="1"/>
  <c r="AH12" i="1"/>
  <c r="AQ260" i="1" s="1"/>
  <c r="AP256" i="1"/>
  <c r="AH8" i="1"/>
  <c r="AQ256" i="1" s="1"/>
  <c r="AH16" i="1" l="1"/>
  <c r="T9" i="1"/>
  <c r="S9" i="1" s="1"/>
  <c r="AB257" i="1" s="1"/>
  <c r="T12" i="1" l="1"/>
  <c r="AC260" i="1" s="1"/>
  <c r="T10" i="1"/>
  <c r="T7" i="1"/>
  <c r="T11" i="1"/>
  <c r="T6" i="1"/>
  <c r="T8" i="1"/>
  <c r="AI7" i="1"/>
  <c r="AJ7" i="1" s="1"/>
  <c r="AI9" i="1"/>
  <c r="AJ9" i="1" s="1"/>
  <c r="AI13" i="1"/>
  <c r="AJ13" i="1" s="1"/>
  <c r="AI10" i="1"/>
  <c r="AJ10" i="1" s="1"/>
  <c r="AI12" i="1"/>
  <c r="AJ12" i="1" s="1"/>
  <c r="AI15" i="1"/>
  <c r="AJ15" i="1" s="1"/>
  <c r="AI14" i="1"/>
  <c r="AJ14" i="1" s="1"/>
  <c r="AI11" i="1"/>
  <c r="AJ11" i="1" s="1"/>
  <c r="AI8" i="1"/>
  <c r="AJ8" i="1" s="1"/>
  <c r="T15" i="1"/>
  <c r="AC263" i="1" s="1"/>
  <c r="T13" i="1"/>
  <c r="AI6" i="1"/>
  <c r="AJ6" i="1" s="1"/>
  <c r="T14" i="1"/>
  <c r="AC257" i="1"/>
  <c r="AQ264" i="1"/>
  <c r="S12" i="1" l="1"/>
  <c r="AB260" i="1" s="1"/>
  <c r="AC259" i="1"/>
  <c r="S11" i="1"/>
  <c r="AB259" i="1" s="1"/>
  <c r="AC258" i="1"/>
  <c r="S10" i="1"/>
  <c r="AB258" i="1" s="1"/>
  <c r="AC256" i="1"/>
  <c r="S8" i="1"/>
  <c r="AB256" i="1" s="1"/>
  <c r="AC254" i="1"/>
  <c r="S6" i="1"/>
  <c r="AC255" i="1"/>
  <c r="S7" i="1"/>
  <c r="AB255" i="1" s="1"/>
  <c r="AJ16" i="1"/>
  <c r="AC261" i="1"/>
  <c r="S13" i="1"/>
  <c r="AC262" i="1"/>
  <c r="S14" i="1"/>
  <c r="AB254" i="1" l="1"/>
  <c r="AM9" i="1"/>
  <c r="AM10" i="1"/>
  <c r="AM8" i="1"/>
  <c r="AN8" i="1" s="1"/>
  <c r="AM7" i="1"/>
  <c r="AM6" i="1"/>
  <c r="AB261" i="1"/>
  <c r="AM11" i="1"/>
  <c r="AM12" i="1"/>
  <c r="AM14" i="1"/>
  <c r="AN14" i="1" s="1"/>
  <c r="R14" i="1"/>
  <c r="AA262" i="1" s="1"/>
  <c r="AB262" i="1"/>
  <c r="AM13" i="1"/>
  <c r="AN10" i="1" l="1"/>
  <c r="R8" i="1" s="1"/>
  <c r="AA256" i="1" s="1"/>
  <c r="AN6" i="1"/>
  <c r="R9" i="1" s="1"/>
  <c r="AA257" i="1" s="1"/>
  <c r="AN9" i="1"/>
  <c r="R11" i="1" s="1"/>
  <c r="AA259" i="1" s="1"/>
  <c r="AN7" i="1"/>
  <c r="R10" i="1" s="1"/>
  <c r="AA258" i="1" s="1"/>
  <c r="AN11" i="1"/>
  <c r="R7" i="1" s="1"/>
  <c r="AA255" i="1" s="1"/>
  <c r="AN12" i="1"/>
  <c r="AN13" i="1"/>
  <c r="R6" i="1" l="1"/>
  <c r="AA254" i="1" s="1"/>
  <c r="R13" i="1"/>
  <c r="AA261" i="1" s="1"/>
  <c r="R12" i="1"/>
  <c r="AA260" i="1"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<sst xmlns="http://schemas.openxmlformats.org/spreadsheetml/2006/main" count="560" uniqueCount="264">
  <si>
    <t>WARTOŚĆ ROLNICZA WAPNA - ZESTWIENIE PORÓWNAWCZE DANYCH O WAPNACH</t>
  </si>
  <si>
    <t>DANE O GLEBIE:</t>
  </si>
  <si>
    <t>Kategoria agronomiczna gleby</t>
  </si>
  <si>
    <t>średnia</t>
  </si>
  <si>
    <t>pH gleby</t>
  </si>
  <si>
    <t>Zasobność gleby w Mg</t>
  </si>
  <si>
    <t>Dawka w CaO (t/ha)</t>
  </si>
  <si>
    <t>DANE O WAPNIE</t>
  </si>
  <si>
    <t>ZALECENIA (OGRANICZENIA)</t>
  </si>
  <si>
    <t>Składnik wapna I</t>
  </si>
  <si>
    <t>Składnik wapna II</t>
  </si>
  <si>
    <t>NAZWA WAPNA</t>
  </si>
  <si>
    <t>Czy zawiera formy tlenkowe?</t>
  </si>
  <si>
    <t>FORMA WAPNA</t>
  </si>
  <si>
    <t>WSKAŹNIK RELACJI JAKOŚCI DO KOSZTU NA 1ha (JK)</t>
  </si>
  <si>
    <t>PRZEWAGA JAKOŚCIOWO-KOSZTOWA NAD KOLEJNYM RODZAJEM WAPNA (%)</t>
  </si>
  <si>
    <t>MIEJSCE</t>
  </si>
  <si>
    <t>I skł</t>
  </si>
  <si>
    <t>II  skł</t>
  </si>
  <si>
    <t>RAZM CaO</t>
  </si>
  <si>
    <t>NIE</t>
  </si>
  <si>
    <t>Mielone</t>
  </si>
  <si>
    <t>CaO</t>
  </si>
  <si>
    <t>MgO</t>
  </si>
  <si>
    <t>TAK</t>
  </si>
  <si>
    <t>Inna</t>
  </si>
  <si>
    <t>MAX Dawka CaO</t>
  </si>
  <si>
    <t>MAX Dawka MgO</t>
  </si>
  <si>
    <t>NIŻSZa REAKTYWNOŚC</t>
  </si>
  <si>
    <t>REAKTYWNOŚĆ</t>
  </si>
  <si>
    <t>od-do</t>
  </si>
  <si>
    <t>min</t>
  </si>
  <si>
    <t>max</t>
  </si>
  <si>
    <t>jednorazowo maksymalnie 2 t CaO/ha</t>
  </si>
  <si>
    <t>Wapno tlenkowe</t>
  </si>
  <si>
    <t>b.lekka</t>
  </si>
  <si>
    <t>Bardzo wysoka</t>
  </si>
  <si>
    <t>90–100%</t>
  </si>
  <si>
    <t>lekka</t>
  </si>
  <si>
    <t>Wysoka</t>
  </si>
  <si>
    <t>75–90%</t>
  </si>
  <si>
    <t>jednorazowo maksymalnie 3 t CaO/ha</t>
  </si>
  <si>
    <t>Średnio wysoka</t>
  </si>
  <si>
    <t>60–75%</t>
  </si>
  <si>
    <t>jednorazowo maksymalnie 4 t CaO/ha</t>
  </si>
  <si>
    <t>ciężka</t>
  </si>
  <si>
    <t>Średnia</t>
  </si>
  <si>
    <t>40–60%</t>
  </si>
  <si>
    <t>Zastosować  min. 50% dawki wapna w postaci wapna magnezowego</t>
  </si>
  <si>
    <t>Mg</t>
  </si>
  <si>
    <t>bardzo niska</t>
  </si>
  <si>
    <t>Niska</t>
  </si>
  <si>
    <t>20–40%</t>
  </si>
  <si>
    <t>Zastosować min. 33% dawki wapna w postaci wapna magnezowego</t>
  </si>
  <si>
    <t>niska</t>
  </si>
  <si>
    <t>Bardzo niska</t>
  </si>
  <si>
    <t>&lt;20%</t>
  </si>
  <si>
    <t>&gt;5,1 wskazane stosowanie wapna o niższej reaktywności</t>
  </si>
  <si>
    <t>pH</t>
  </si>
  <si>
    <t>wskazany wybór wapna o niższej reaktywności</t>
  </si>
  <si>
    <t>&gt;5,6 wskazane stosowanie wapna o niższej reaktywności</t>
  </si>
  <si>
    <t>&gt;6,1 wskazane stosowanie wapna o niższej reaktywności</t>
  </si>
  <si>
    <t>&gt;6,6 wskazane stosowanie wapna o niższej reaktywności</t>
  </si>
  <si>
    <t>dawki dzielone stosować wczesną wiosną i późną jesienią lub jesienią i wiosną</t>
  </si>
  <si>
    <t>dawki dzielone</t>
  </si>
  <si>
    <t>część II dawki stosować po 2  latach (najlepiej po ponownym badaniu gleby)</t>
  </si>
  <si>
    <t>część II &gt;= 2t/ha</t>
  </si>
  <si>
    <t>dawka wg zaleceń producenta</t>
  </si>
  <si>
    <t>wapno granulowane</t>
  </si>
  <si>
    <t>TYP WAPNA</t>
  </si>
  <si>
    <t>Wapno kredowe</t>
  </si>
  <si>
    <t>Wapień</t>
  </si>
  <si>
    <t>Dolomit</t>
  </si>
  <si>
    <t>Z produkcji ubocznej</t>
  </si>
  <si>
    <t>Inne</t>
  </si>
  <si>
    <t>legenda:</t>
  </si>
  <si>
    <t>Dawki CaO na gruntach ornych</t>
  </si>
  <si>
    <t>rodzAJE SKŁADNIKÓW</t>
  </si>
  <si>
    <t>CaO całkowite</t>
  </si>
  <si>
    <r>
      <t>CaCO</t>
    </r>
    <r>
      <rPr>
        <vertAlign val="subscript"/>
        <sz val="10"/>
        <rFont val="Arial"/>
        <family val="2"/>
        <charset val="238"/>
      </rPr>
      <t>3</t>
    </r>
  </si>
  <si>
    <t>&gt;5,0</t>
  </si>
  <si>
    <t>&gt;5,5</t>
  </si>
  <si>
    <t>&gt;6,0</t>
  </si>
  <si>
    <t>&gt;6,3</t>
  </si>
  <si>
    <r>
      <t>MgCO</t>
    </r>
    <r>
      <rPr>
        <vertAlign val="subscript"/>
        <sz val="10"/>
        <rFont val="Arial"/>
        <family val="2"/>
        <charset val="238"/>
      </rPr>
      <t>3</t>
    </r>
  </si>
  <si>
    <t>Legenda zasobność gleby</t>
  </si>
  <si>
    <t>Kruszone</t>
  </si>
  <si>
    <t>wysoka</t>
  </si>
  <si>
    <t>bardzo wysoka</t>
  </si>
  <si>
    <t>&lt;3,8</t>
  </si>
  <si>
    <t>&lt;3,9</t>
  </si>
  <si>
    <t>gleba b. lekka</t>
  </si>
  <si>
    <t>gleba lekka</t>
  </si>
  <si>
    <t>gleba średnia</t>
  </si>
  <si>
    <t>gleba ciężka</t>
  </si>
  <si>
    <t>Wapno węglanowe mielone</t>
  </si>
  <si>
    <t>Cena produktu (zł/t)</t>
  </si>
  <si>
    <t>Transport (zł/t)</t>
  </si>
  <si>
    <t>Reaktywność (%)</t>
  </si>
  <si>
    <t>Udział frakcji&lt;0,5mm (%)</t>
  </si>
  <si>
    <t>Rodzaj składnika</t>
  </si>
  <si>
    <t>Zawartość (%)</t>
  </si>
  <si>
    <t>Cena 1 tony CaO z transportem (zł)</t>
  </si>
  <si>
    <t>Dawka w masie towarowej (t/ha)</t>
  </si>
  <si>
    <t>MAX dawka wapna tlenkowego t CaO/ha</t>
  </si>
  <si>
    <t>Górne pH sugerujący dobór słabszego wapna (o niższej reaktywności)</t>
  </si>
  <si>
    <t>Rodzaj wapna</t>
  </si>
  <si>
    <t>Forma fizyczna</t>
  </si>
  <si>
    <t>CaO śr.</t>
  </si>
  <si>
    <t>R śr.</t>
  </si>
  <si>
    <t>T śr.</t>
  </si>
  <si>
    <t>S</t>
  </si>
  <si>
    <t>Charakter działania</t>
  </si>
  <si>
    <t>Kreda nawozowa drobna</t>
  </si>
  <si>
    <t>bardzo szybkie</t>
  </si>
  <si>
    <t>1–3 miesiące</t>
  </si>
  <si>
    <t>2–4 miesiące</t>
  </si>
  <si>
    <t>3–6 miesięcy</t>
  </si>
  <si>
    <t>2–5 miesięcy</t>
  </si>
  <si>
    <t>6–12 miesięcy</t>
  </si>
  <si>
    <t>1–2 lata</t>
  </si>
  <si>
    <t>Wapno magnezowe (wapień magnezowy)</t>
  </si>
  <si>
    <t>Dolomit drobny</t>
  </si>
  <si>
    <t>Dolomit gruby</t>
  </si>
  <si>
    <t>2–4 lata</t>
  </si>
  <si>
    <t>średnio szybkie</t>
  </si>
  <si>
    <t>1–4 tygodnie</t>
  </si>
  <si>
    <t>Wapno palone CaO</t>
  </si>
  <si>
    <t>Odm.</t>
  </si>
  <si>
    <t>Nazwa wg rozporządzenia</t>
  </si>
  <si>
    <t>Nasza nazwa</t>
  </si>
  <si>
    <t>F &lt;0,5 mm</t>
  </si>
  <si>
    <t>Czas osiągnięcia ok. 80% efektu</t>
  </si>
  <si>
    <t>Z przerobu skał wapiennych</t>
  </si>
  <si>
    <t>Tlenek wapnia</t>
  </si>
  <si>
    <t>bardzo szybkie, interwencyjne</t>
  </si>
  <si>
    <t>Tlenek + węglan wapnia</t>
  </si>
  <si>
    <t>Wapno przejściowe</t>
  </si>
  <si>
    <t>szybkie z wydłużonym efektem</t>
  </si>
  <si>
    <t>Węglan wapnia</t>
  </si>
  <si>
    <t>umiarkowanie szybkie, długotrwałe</t>
  </si>
  <si>
    <t>Suche</t>
  </si>
  <si>
    <t>Wapno defekacyjne suche</t>
  </si>
  <si>
    <t>średnio szybkie, poprawia właściwości gleby</t>
  </si>
  <si>
    <t>Podsuszone</t>
  </si>
  <si>
    <t>Wapno defekacyjne podsuszone</t>
  </si>
  <si>
    <t>Odsączone</t>
  </si>
  <si>
    <t>Wapno defekacyjne odsączone</t>
  </si>
  <si>
    <t>4–8 miesięcy</t>
  </si>
  <si>
    <t>umiarkowane</t>
  </si>
  <si>
    <t>Mokre</t>
  </si>
  <si>
    <t>Wapno defekacyjne mokre</t>
  </si>
  <si>
    <t>powolne</t>
  </si>
  <si>
    <t>Kopalina naturalna</t>
  </si>
  <si>
    <t>06a</t>
  </si>
  <si>
    <t>Wapno kredowe suche</t>
  </si>
  <si>
    <t>Mączka</t>
  </si>
  <si>
    <t>07a</t>
  </si>
  <si>
    <t>Wapno kredowe podsuszone</t>
  </si>
  <si>
    <t>Kreda nawozowa</t>
  </si>
  <si>
    <t>08a</t>
  </si>
  <si>
    <t>Wapno kredowe odsączone</t>
  </si>
  <si>
    <t>Kreda wilgotna</t>
  </si>
  <si>
    <t>szybkie</t>
  </si>
  <si>
    <t>09a</t>
  </si>
  <si>
    <t>Wapno kredowe mokre</t>
  </si>
  <si>
    <t>Kreda mokra</t>
  </si>
  <si>
    <t>CaO+MgO min %</t>
  </si>
  <si>
    <t>MgO min %</t>
  </si>
  <si>
    <t>Tlenkowe</t>
  </si>
  <si>
    <t>Prażone wapno magnezowe</t>
  </si>
  <si>
    <t>Wapno magnezowe tlenkowe</t>
  </si>
  <si>
    <t>1–2 miesiące</t>
  </si>
  <si>
    <t>Węglanowe</t>
  </si>
  <si>
    <t>Skały wapniowo-magnezowe</t>
  </si>
  <si>
    <t>umiarkowanie szybkie, długotrwałe, dostarcza Mg</t>
  </si>
  <si>
    <t>Mieszanki wapniowo-magnezowe</t>
  </si>
  <si>
    <t>Wapno magnezowe</t>
  </si>
  <si>
    <t>powolne, bardzo trwałe, dostarcza Mg</t>
  </si>
  <si>
    <t>Dolomit + wapień</t>
  </si>
  <si>
    <t>Dolomit mielony</t>
  </si>
  <si>
    <t>1–3 lata</t>
  </si>
  <si>
    <t>01</t>
  </si>
  <si>
    <t>02</t>
  </si>
  <si>
    <t>03</t>
  </si>
  <si>
    <t>04</t>
  </si>
  <si>
    <t>05</t>
  </si>
  <si>
    <t>06</t>
  </si>
  <si>
    <t>07</t>
  </si>
  <si>
    <t>08</t>
  </si>
  <si>
    <t>09</t>
  </si>
  <si>
    <t>Czy zawiera magnez?</t>
  </si>
  <si>
    <t>ODMIANA</t>
  </si>
  <si>
    <t>=PRZESUNIĘCIE($G$65;1;PODAJ.POZYCJĘ($c6;$G$65:$N$65;0)-1;ILE.NIEPUSTYCH(PRZESUNIĘCIE($G$65;1;PODAJ.POZYCJĘ($c6;$G$65:$N$65;0)-1;27;1));1)</t>
  </si>
  <si>
    <t>Niezwierące magnezu-Typ</t>
  </si>
  <si>
    <t>Zawierające magnez -TYP</t>
  </si>
  <si>
    <t>Typ wapna</t>
  </si>
  <si>
    <t>INFORMACJE  DODATKOWE</t>
  </si>
  <si>
    <t>CaO+MgO</t>
  </si>
  <si>
    <t>w tym MgO</t>
  </si>
  <si>
    <t>+</t>
  </si>
  <si>
    <t>CaO+0</t>
  </si>
  <si>
    <t>Zawierające Mg</t>
  </si>
  <si>
    <t>pierw.na liście</t>
  </si>
  <si>
    <t>Z prod. ubocznej</t>
  </si>
  <si>
    <t>Kreda granulowana</t>
  </si>
  <si>
    <t>G1</t>
  </si>
  <si>
    <t>Węglan wapnia (typ 05)</t>
  </si>
  <si>
    <t>Wapno granulowane węglanowe</t>
  </si>
  <si>
    <t>Granulat</t>
  </si>
  <si>
    <t>G2</t>
  </si>
  <si>
    <t>Wapno kredowe (typ 06a–09a)</t>
  </si>
  <si>
    <t>bardzo szybkie po rozpadzie granul</t>
  </si>
  <si>
    <t>G3</t>
  </si>
  <si>
    <t>Wapno wapniowo-magnezowe</t>
  </si>
  <si>
    <t>Dolomit granulowany</t>
  </si>
  <si>
    <t>12–24 miesięcy</t>
  </si>
  <si>
    <t>powolne, długotrwałe</t>
  </si>
  <si>
    <t>jak wapno mielone po rozpadzie granul, umiarkowanie szybkie, długotrwałe</t>
  </si>
  <si>
    <t>Granulowane węglanowe</t>
  </si>
  <si>
    <t>Granulowana kreda</t>
  </si>
  <si>
    <t>Granulowany dolomit</t>
  </si>
  <si>
    <t>Forma sypka</t>
  </si>
  <si>
    <t>Granulowany inny</t>
  </si>
  <si>
    <t>G5</t>
  </si>
  <si>
    <t>MgO (%)</t>
  </si>
  <si>
    <t>Ocena</t>
  </si>
  <si>
    <t>Oznaczenie</t>
  </si>
  <si>
    <t>&lt; 2</t>
  </si>
  <si>
    <t>Brak znaczenia nawozowego</t>
  </si>
  <si>
    <t>⚪</t>
  </si>
  <si>
    <t>2–8</t>
  </si>
  <si>
    <t>Niskie uzupełnianie Mg</t>
  </si>
  <si>
    <t>🟢</t>
  </si>
  <si>
    <t>8–15</t>
  </si>
  <si>
    <t>Średnie uzupełnianie Mg</t>
  </si>
  <si>
    <t>🟡</t>
  </si>
  <si>
    <t>15–20</t>
  </si>
  <si>
    <t>Wysokie uzupełnianie Mg</t>
  </si>
  <si>
    <t>🟠</t>
  </si>
  <si>
    <t>&gt; 20</t>
  </si>
  <si>
    <t>Bardzo wysokie uzupełnianie Mg</t>
  </si>
  <si>
    <t>🔴</t>
  </si>
  <si>
    <t>Min</t>
  </si>
  <si>
    <t>Max</t>
  </si>
  <si>
    <t>Zaopatrzenie w Mg</t>
  </si>
  <si>
    <t>Mam pełne dane</t>
  </si>
  <si>
    <t>Nie znam reaktywności</t>
  </si>
  <si>
    <t>Nie znam udziału frakcji</t>
  </si>
  <si>
    <t>Nie znam reaktywności i udziału frakcji</t>
  </si>
  <si>
    <t>Cel wapnowania:</t>
  </si>
  <si>
    <t>Licz bez uwzględnienia celu</t>
  </si>
  <si>
    <t>działanie szybkie, ale jednosezonowe</t>
  </si>
  <si>
    <t>działanie długotrwale, ale powolne</t>
  </si>
  <si>
    <t>Wskaźnik wg wyboru celu</t>
  </si>
  <si>
    <t>SKORYGOWANY O CEL WAPNOWANIA WSKAŹNIK RELACJI JAKOŚCI DO KOSZTU NA 1ha (JK)</t>
  </si>
  <si>
    <r>
      <rPr>
        <b/>
        <sz val="10"/>
        <color theme="1"/>
        <rFont val="Arial"/>
        <family val="2"/>
        <charset val="238"/>
      </rPr>
      <t>Dawka wapna w kg/ha zalecana przez producenta -</t>
    </r>
    <r>
      <rPr>
        <b/>
        <sz val="10"/>
        <color rgb="FFFF0000"/>
        <rFont val="Arial"/>
        <family val="2"/>
        <charset val="238"/>
      </rPr>
      <t xml:space="preserve"> TYLKO DLA GRANULATU </t>
    </r>
  </si>
  <si>
    <t>zgodnie z informacją producenta</t>
  </si>
  <si>
    <t>umiarkowanie szybkie, uzupełnia Mg</t>
  </si>
  <si>
    <t>powolne i długotrwałe, uzupełnia Mg</t>
  </si>
  <si>
    <t>bardzo powolne, najtrwalsze, uzupełnia Mg</t>
  </si>
  <si>
    <t>bardzo szybkie, jednocześnie dostarczaa Mg</t>
  </si>
  <si>
    <t>bardzo szybkie, jednocześnie dostarcza Mg</t>
  </si>
  <si>
    <t>Opcje obliczeń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</si>
</sst>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
    <numFmt numFmtId="166" formatCode="#,##0_ ;\-#,##0\ "/>
    <numFmt numFmtId="167" formatCode="#,##0.000000"/>
  </numFmts>
  <fonts count="30" x14ac:knownFonts="1">
    <font>
      <sz val="10"/>
      <name val="Arial"/>
      <family val="2"/>
      <charset val="238"/>
    </font>
    <font>
      <sz val="11"/>
      <color theme="1"/>
      <name val="Calibri"/>
      <family val="2"/>
      <charset val="238"/>
      <scheme val="minor"/>
    </font>
    <font>
      <b/>
      <sz val="11"/>
      <color theme="1"/>
      <name val="Calibri"/>
      <family val="2"/>
      <charset val="238"/>
      <scheme val="minor"/>
    </font>
    <font>
      <sz val="10"/>
      <name val="Arial"/>
      <family val="2"/>
      <charset val="238"/>
    </font>
    <font>
      <b/>
      <sz val="16"/>
      <name val="Arial"/>
      <family val="2"/>
      <charset val="238"/>
    </font>
    <font>
      <sz val="16"/>
      <name val="Arial"/>
      <family val="2"/>
      <charset val="238"/>
    </font>
    <font>
      <b/>
      <sz val="14"/>
      <name val="Arial"/>
      <family val="2"/>
      <charset val="238"/>
    </font>
    <font>
      <b/>
      <sz val="10"/>
      <name val="Arial"/>
      <family val="2"/>
      <charset val="238"/>
    </font>
    <font>
      <b/>
      <sz val="12"/>
      <name val="Arial"/>
      <family val="2"/>
      <charset val="238"/>
    </font>
    <font>
      <sz val="11"/>
      <name val="Arial"/>
      <family val="2"/>
      <charset val="238"/>
    </font>
    <font>
      <sz val="12"/>
      <color rgb="FFFF0000"/>
      <name val="Arial"/>
      <family val="2"/>
      <charset val="238"/>
    </font>
    <font>
      <b/>
      <sz val="12"/>
      <color rgb="FFFF0000"/>
      <name val="Arial"/>
      <family val="2"/>
      <charset val="238"/>
    </font>
    <font>
      <b/>
      <sz val="12"/>
      <color indexed="12"/>
      <name val="Arial"/>
      <family val="2"/>
      <charset val="238"/>
    </font>
    <font>
      <b/>
      <sz val="10"/>
      <color rgb="FFFF0000"/>
      <name val="Arial"/>
      <family val="2"/>
      <charset val="238"/>
    </font>
    <font>
      <b/>
      <sz val="9"/>
      <color indexed="12"/>
      <name val="Arial"/>
      <family val="2"/>
      <charset val="238"/>
    </font>
    <font>
      <b/>
      <sz val="16"/>
      <color indexed="10"/>
      <name val="Arial"/>
      <family val="2"/>
      <charset val="238"/>
    </font>
    <font>
      <sz val="14"/>
      <name val="Arial"/>
      <family val="2"/>
      <charset val="238"/>
    </font>
    <font>
      <b/>
      <sz val="14"/>
      <color indexed="10"/>
      <name val="Arial"/>
      <family val="2"/>
      <charset val="238"/>
    </font>
    <font>
      <vertAlign val="subscript"/>
      <sz val="10"/>
      <name val="Arial"/>
      <family val="2"/>
      <charset val="238"/>
    </font>
    <font>
      <sz val="8"/>
      <name val="Arial"/>
      <family val="2"/>
      <charset val="238"/>
    </font>
    <font>
      <sz val="12"/>
      <name val="Arial"/>
      <family val="2"/>
      <charset val="238"/>
    </font>
    <font>
      <sz val="14"/>
      <color theme="1"/>
      <name val="Calibri"/>
      <family val="2"/>
      <charset val="238"/>
      <scheme val="minor"/>
    </font>
    <font>
      <b/>
      <sz val="14"/>
      <color theme="1"/>
      <name val="Calibri"/>
      <family val="2"/>
      <charset val="238"/>
      <scheme val="minor"/>
    </font>
    <font>
      <b/>
      <sz val="8"/>
      <name val="Arial"/>
      <family val="2"/>
      <charset val="238"/>
    </font>
    <font>
      <sz val="9"/>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12"/>
      <color theme="1"/>
      <name val="Arial"/>
      <family val="2"/>
      <charset val="238"/>
    </font>
    <font>
      <b/>
      <sz val="14"/>
      <color theme="1"/>
      <name val="Arial"/>
      <family val="2"/>
      <charset val="238"/>
    </font>
  </fonts>
  <fills count="11">
    <fill>
      <patternFill patternType="none"/>
    </fill>
    <fill>
      <patternFill patternType="gray125"/>
    </fill>
    <fill>
      <gradientFill type="path" left="0.5" right="0.5" top="0.5" bottom="0.5">
        <stop position="0">
          <color theme="0"/>
        </stop>
        <stop position="1">
          <color theme="4"/>
        </stop>
      </gradientFill>
    </fill>
    <fill>
      <patternFill patternType="solid">
        <fgColor rgb="FFFFFF00"/>
        <bgColor indexed="64"/>
      </patternFill>
    </fill>
    <fill>
      <patternFill patternType="solid">
        <fgColor rgb="FFCCFFCC"/>
        <bgColor indexed="64"/>
      </patternFill>
    </fill>
    <fill>
      <patternFill patternType="solid">
        <fgColor rgb="FFFFC000"/>
        <bgColor indexed="64"/>
      </patternFill>
    </fill>
    <fill>
      <patternFill patternType="solid">
        <fgColor indexed="13"/>
        <bgColor indexed="64"/>
      </patternFill>
    </fill>
    <fill>
      <patternFill patternType="solid">
        <fgColor indexed="42"/>
        <bgColor indexed="64"/>
      </patternFill>
    </fill>
    <fill>
      <patternFill patternType="solid">
        <fgColor theme="5"/>
        <bgColor indexed="64"/>
      </patternFill>
    </fill>
    <fill>
      <patternFill patternType="solid">
        <fgColor rgb="FF92D050"/>
        <bgColor indexed="64"/>
      </patternFill>
    </fill>
    <fill>
      <patternFill patternType="solid">
        <fgColor rgb="FFFFCCCC"/>
        <bgColor indexed="64"/>
      </patternFill>
    </fill>
  </fills>
  <borders count="22">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s>
  <cellStyleXfs count="5">
    <xf numFmtId="0" fontId="0" fillId="0" borderId="0"/>
    <xf numFmtId="9" fontId="3" fillId="0" borderId="0" applyFont="0" applyFill="0" applyBorder="0" applyAlignment="0" applyProtection="0"/>
    <xf numFmtId="0" fontId="1" fillId="0" borderId="0"/>
    <xf numFmtId="0" fontId="3" fillId="0" borderId="0"/>
    <xf numFmtId="0" fontId="21" fillId="0" borderId="0"/>
  </cellStyleXfs>
  <cellXfs count="188">
    <xf numFmtId="0" fontId="0" fillId="0" borderId="0" xfId="0"/>
    <xf numFmtId="0" fontId="3" fillId="0" borderId="3" xfId="0" applyFont="1" applyBorder="1" applyProtection="1">
      <protection locked="0"/>
    </xf>
    <xf numFmtId="0" fontId="0" fillId="0" borderId="3" xfId="0" applyBorder="1" applyAlignment="1" applyProtection="1">
      <alignment horizontal="center" wrapText="1"/>
      <protection locked="0"/>
    </xf>
    <xf numFmtId="166" fontId="16" fillId="0" borderId="3" xfId="0" applyNumberFormat="1" applyFont="1" applyBorder="1" applyAlignment="1" applyProtection="1">
      <alignment horizontal="center"/>
      <protection locked="0"/>
    </xf>
    <xf numFmtId="0" fontId="16" fillId="0" borderId="3" xfId="0" applyFont="1" applyBorder="1" applyAlignment="1" applyProtection="1">
      <alignment horizontal="center"/>
      <protection locked="0"/>
    </xf>
    <xf numFmtId="9" fontId="16" fillId="0" borderId="3" xfId="0" applyNumberFormat="1" applyFont="1" applyBorder="1" applyAlignment="1" applyProtection="1">
      <alignment horizontal="center"/>
      <protection locked="0"/>
    </xf>
    <xf numFmtId="9" fontId="16" fillId="0" borderId="3" xfId="1" applyFont="1" applyBorder="1" applyAlignment="1" applyProtection="1">
      <alignment horizontal="center"/>
      <protection locked="0"/>
    </xf>
    <xf numFmtId="0" fontId="0" fillId="0" borderId="3" xfId="0" applyBorder="1" applyAlignment="1" applyProtection="1">
      <alignment horizontal="center"/>
      <protection locked="0"/>
    </xf>
    <xf numFmtId="0" fontId="0" fillId="0" borderId="3" xfId="0" applyBorder="1" applyAlignment="1" applyProtection="1">
      <alignment vertical="center" shrinkToFit="1"/>
      <protection locked="0"/>
    </xf>
    <xf numFmtId="0" fontId="6" fillId="3" borderId="3" xfId="0" applyFont="1" applyFill="1" applyBorder="1" applyAlignment="1" applyProtection="1">
      <alignment horizontal="center" vertical="center"/>
      <protection locked="0"/>
    </xf>
    <xf numFmtId="0" fontId="4" fillId="0" borderId="0" xfId="0" applyFont="1" applyAlignment="1">
      <alignment horizontal="center"/>
    </xf>
    <xf numFmtId="0" fontId="4" fillId="0" borderId="0" xfId="0" applyFont="1"/>
    <xf numFmtId="0" fontId="5" fillId="0" borderId="0" xfId="0" applyFont="1"/>
    <xf numFmtId="0" fontId="5" fillId="5" borderId="0" xfId="0" applyFont="1" applyFill="1"/>
    <xf numFmtId="0" fontId="6" fillId="2" borderId="1" xfId="0" applyFont="1" applyFill="1" applyBorder="1" applyAlignment="1">
      <alignment vertical="center"/>
    </xf>
    <xf numFmtId="0" fontId="5" fillId="2" borderId="0" xfId="0" applyFont="1" applyFill="1"/>
    <xf numFmtId="0" fontId="7" fillId="2" borderId="2" xfId="0" applyFont="1" applyFill="1" applyBorder="1" applyAlignment="1">
      <alignment horizontal="center" vertical="center" wrapText="1"/>
    </xf>
    <xf numFmtId="0" fontId="6" fillId="2" borderId="0" xfId="0" applyFont="1" applyFill="1" applyAlignment="1">
      <alignment horizontal="left" vertical="center"/>
    </xf>
    <xf numFmtId="0" fontId="6" fillId="2" borderId="0" xfId="0" applyFont="1" applyFill="1" applyAlignment="1">
      <alignment horizontal="left" vertical="center" wrapText="1"/>
    </xf>
    <xf numFmtId="165" fontId="6" fillId="4" borderId="3" xfId="0" applyNumberFormat="1" applyFont="1" applyFill="1" applyBorder="1" applyAlignment="1">
      <alignment horizontal="center" vertical="center" wrapText="1"/>
    </xf>
    <xf numFmtId="0" fontId="7" fillId="0" borderId="0" xfId="0" applyFont="1" applyAlignment="1">
      <alignment horizontal="center" vertical="center" wrapText="1"/>
    </xf>
    <xf numFmtId="0" fontId="16" fillId="0" borderId="0" xfId="0" applyFont="1" applyAlignment="1">
      <alignment horizontal="right"/>
    </xf>
    <xf numFmtId="0" fontId="7" fillId="0" borderId="4" xfId="0" applyFont="1" applyBorder="1" applyAlignment="1">
      <alignment vertical="center"/>
    </xf>
    <xf numFmtId="0" fontId="7" fillId="0" borderId="5" xfId="0" applyFont="1" applyBorder="1" applyAlignment="1">
      <alignment vertical="center"/>
    </xf>
    <xf numFmtId="0" fontId="7" fillId="0" borderId="0" xfId="0" applyFont="1"/>
    <xf numFmtId="0" fontId="0" fillId="0" borderId="2" xfId="0" quotePrefix="1" applyBorder="1" applyAlignment="1">
      <alignment vertical="center" wrapText="1"/>
    </xf>
    <xf numFmtId="0" fontId="6" fillId="0" borderId="3" xfId="0" applyFont="1" applyBorder="1" applyAlignment="1">
      <alignment horizontal="center" vertical="center"/>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4" fillId="6" borderId="9" xfId="0" applyFont="1" applyFill="1" applyBorder="1" applyAlignment="1">
      <alignment horizontal="center" vertical="center" wrapText="1"/>
    </xf>
    <xf numFmtId="0" fontId="7" fillId="7" borderId="3" xfId="0" applyFont="1" applyFill="1" applyBorder="1" applyAlignment="1">
      <alignment horizontal="center" wrapText="1"/>
    </xf>
    <xf numFmtId="0" fontId="15" fillId="0" borderId="3" xfId="0" applyFont="1" applyBorder="1" applyAlignment="1">
      <alignment horizontal="center"/>
    </xf>
    <xf numFmtId="0" fontId="3" fillId="0" borderId="0" xfId="0" applyFont="1"/>
    <xf numFmtId="0" fontId="7" fillId="5" borderId="3"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0" borderId="3" xfId="0" applyFont="1" applyBorder="1"/>
    <xf numFmtId="0" fontId="20" fillId="5" borderId="3" xfId="0" applyFont="1" applyFill="1" applyBorder="1" applyAlignment="1">
      <alignment horizontal="center" vertical="center" wrapText="1"/>
    </xf>
    <xf numFmtId="0" fontId="23" fillId="7" borderId="3" xfId="0" applyFont="1" applyFill="1" applyBorder="1" applyAlignment="1">
      <alignment horizontal="center" wrapText="1"/>
    </xf>
    <xf numFmtId="0" fontId="16" fillId="5" borderId="3" xfId="0" applyFont="1" applyFill="1" applyBorder="1" applyAlignment="1">
      <alignment horizontal="center" vertical="center" wrapText="1"/>
    </xf>
    <xf numFmtId="0" fontId="3" fillId="0" borderId="3" xfId="0" applyFont="1" applyBorder="1"/>
    <xf numFmtId="0" fontId="0" fillId="0" borderId="3" xfId="0" applyBorder="1" applyAlignment="1">
      <alignment horizontal="center"/>
    </xf>
    <xf numFmtId="0" fontId="0" fillId="0" borderId="0" xfId="0" applyAlignment="1">
      <alignment horizontal="center"/>
    </xf>
    <xf numFmtId="0" fontId="0" fillId="0" borderId="0" xfId="0" applyAlignment="1">
      <alignment wrapText="1"/>
    </xf>
    <xf numFmtId="0" fontId="7" fillId="0" borderId="3" xfId="0" applyFont="1" applyBorder="1" applyAlignment="1">
      <alignment horizontal="center"/>
    </xf>
    <xf numFmtId="0" fontId="0" fillId="0" borderId="3" xfId="0" applyBorder="1"/>
    <xf numFmtId="164" fontId="1" fillId="0" borderId="3" xfId="2" applyNumberFormat="1" applyBorder="1"/>
    <xf numFmtId="0" fontId="0" fillId="3" borderId="0" xfId="0" applyFill="1"/>
    <xf numFmtId="0" fontId="7" fillId="0" borderId="1" xfId="0" applyFont="1" applyBorder="1" applyAlignment="1">
      <alignment vertical="center" wrapText="1"/>
    </xf>
    <xf numFmtId="0" fontId="7" fillId="0" borderId="3" xfId="0" applyFont="1" applyBorder="1" applyAlignment="1">
      <alignment horizontal="center" vertical="center" wrapText="1"/>
    </xf>
    <xf numFmtId="0" fontId="0" fillId="0" borderId="8" xfId="0" applyBorder="1"/>
    <xf numFmtId="0" fontId="0" fillId="0" borderId="8" xfId="0" applyBorder="1" applyAlignment="1">
      <alignment horizontal="center"/>
    </xf>
    <xf numFmtId="164" fontId="1" fillId="0" borderId="8" xfId="2" applyNumberFormat="1" applyBorder="1"/>
    <xf numFmtId="0" fontId="0" fillId="0" borderId="0" xfId="0" applyAlignment="1">
      <alignment horizontal="left" vertical="center" indent="1"/>
    </xf>
    <xf numFmtId="0" fontId="0" fillId="3" borderId="3" xfId="0" applyFill="1" applyBorder="1"/>
    <xf numFmtId="0" fontId="0" fillId="3" borderId="3" xfId="0" applyFill="1" applyBorder="1" applyAlignment="1">
      <alignment horizontal="center"/>
    </xf>
    <xf numFmtId="0" fontId="3" fillId="3" borderId="3" xfId="0" applyFont="1" applyFill="1" applyBorder="1"/>
    <xf numFmtId="0" fontId="7" fillId="5" borderId="0" xfId="0" applyFont="1" applyFill="1"/>
    <xf numFmtId="164" fontId="1" fillId="0" borderId="10" xfId="2" applyNumberFormat="1" applyBorder="1"/>
    <xf numFmtId="0" fontId="13" fillId="5" borderId="3" xfId="0" applyFont="1" applyFill="1" applyBorder="1" applyAlignment="1">
      <alignment horizontal="center"/>
    </xf>
    <xf numFmtId="0" fontId="0" fillId="5" borderId="0" xfId="0" applyFill="1"/>
    <xf numFmtId="0" fontId="0" fillId="0" borderId="2" xfId="0" applyBorder="1"/>
    <xf numFmtId="0" fontId="7" fillId="0" borderId="0" xfId="0" applyFont="1" applyAlignment="1">
      <alignment horizontal="right" vertical="center" wrapText="1"/>
    </xf>
    <xf numFmtId="0" fontId="0" fillId="5" borderId="3" xfId="0" applyFill="1" applyBorder="1" applyAlignment="1">
      <alignment horizontal="center" vertical="center"/>
    </xf>
    <xf numFmtId="0" fontId="0" fillId="0" borderId="0" xfId="0" applyAlignment="1">
      <alignment horizontal="right" vertical="center" wrapText="1"/>
    </xf>
    <xf numFmtId="9" fontId="0" fillId="5" borderId="3" xfId="1" applyFont="1" applyFill="1" applyBorder="1" applyAlignment="1" applyProtection="1">
      <alignment horizontal="center" vertical="center"/>
    </xf>
    <xf numFmtId="0" fontId="0" fillId="5" borderId="3" xfId="0" applyFill="1" applyBorder="1" applyAlignment="1">
      <alignment horizontal="center" vertical="center" wrapText="1"/>
    </xf>
    <xf numFmtId="0" fontId="0" fillId="0" borderId="0" xfId="0" applyAlignment="1">
      <alignment horizontal="center" vertical="center" wrapText="1"/>
    </xf>
    <xf numFmtId="0" fontId="7" fillId="0" borderId="0" xfId="0" applyFont="1" applyAlignment="1">
      <alignment vertical="center" wrapText="1"/>
    </xf>
    <xf numFmtId="0" fontId="3" fillId="0" borderId="8" xfId="0" applyFont="1" applyBorder="1"/>
    <xf numFmtId="0" fontId="2" fillId="0" borderId="0" xfId="2" applyFont="1"/>
    <xf numFmtId="0" fontId="1" fillId="0" borderId="0" xfId="2"/>
    <xf numFmtId="0" fontId="7" fillId="0" borderId="3" xfId="0" applyFont="1" applyBorder="1"/>
    <xf numFmtId="164" fontId="1" fillId="0" borderId="11" xfId="2" applyNumberFormat="1" applyBorder="1"/>
    <xf numFmtId="164" fontId="1" fillId="0" borderId="0" xfId="2" applyNumberFormat="1"/>
    <xf numFmtId="0" fontId="3" fillId="5" borderId="0" xfId="0" applyFont="1" applyFill="1"/>
    <xf numFmtId="164" fontId="1" fillId="3" borderId="3" xfId="2" applyNumberFormat="1" applyFill="1" applyBorder="1"/>
    <xf numFmtId="164" fontId="1" fillId="0" borderId="10" xfId="2" applyNumberFormat="1" applyBorder="1" applyAlignment="1">
      <alignment horizontal="center"/>
    </xf>
    <xf numFmtId="0" fontId="0" fillId="10" borderId="3" xfId="0" applyFill="1" applyBorder="1" applyAlignment="1">
      <alignment vertical="center" wrapText="1"/>
    </xf>
    <xf numFmtId="0" fontId="0" fillId="10" borderId="3" xfId="0" applyFill="1" applyBorder="1" applyAlignment="1">
      <alignment horizontal="center" vertical="center" wrapText="1"/>
    </xf>
    <xf numFmtId="164" fontId="1" fillId="0" borderId="3" xfId="2" applyNumberFormat="1" applyBorder="1" applyAlignment="1">
      <alignment horizontal="center"/>
    </xf>
    <xf numFmtId="0" fontId="0" fillId="0" borderId="0" xfId="0" quotePrefix="1" applyAlignment="1">
      <alignment vertical="top" wrapText="1"/>
    </xf>
    <xf numFmtId="0" fontId="0" fillId="0" borderId="0" xfId="0" applyAlignment="1">
      <alignment vertical="top"/>
    </xf>
    <xf numFmtId="0" fontId="3" fillId="8" borderId="1" xfId="3" applyFill="1" applyBorder="1" applyAlignment="1">
      <alignment horizontal="left" vertical="center"/>
    </xf>
    <xf numFmtId="49" fontId="1" fillId="0" borderId="3" xfId="2" applyNumberFormat="1" applyBorder="1" applyAlignment="1">
      <alignment horizontal="center"/>
    </xf>
    <xf numFmtId="1" fontId="1" fillId="0" borderId="3" xfId="2" applyNumberFormat="1" applyBorder="1" applyAlignment="1">
      <alignment horizontal="center"/>
    </xf>
    <xf numFmtId="0" fontId="7" fillId="5" borderId="3" xfId="0" applyFont="1" applyFill="1" applyBorder="1"/>
    <xf numFmtId="0" fontId="0" fillId="5" borderId="3" xfId="0" applyFill="1" applyBorder="1"/>
    <xf numFmtId="0" fontId="0" fillId="5" borderId="3" xfId="0" applyFill="1" applyBorder="1" applyAlignment="1">
      <alignment horizontal="center"/>
    </xf>
    <xf numFmtId="0" fontId="22" fillId="0" borderId="13" xfId="4" applyFont="1" applyBorder="1" applyAlignment="1">
      <alignment horizontal="center"/>
    </xf>
    <xf numFmtId="0" fontId="7" fillId="5" borderId="3" xfId="0" applyFont="1" applyFill="1" applyBorder="1" applyAlignment="1">
      <alignment horizontal="right" vertical="center" wrapText="1"/>
    </xf>
    <xf numFmtId="0" fontId="7" fillId="5" borderId="3" xfId="0" applyFont="1" applyFill="1" applyBorder="1" applyAlignment="1">
      <alignment horizontal="center"/>
    </xf>
    <xf numFmtId="0" fontId="7" fillId="5" borderId="8" xfId="0" applyFont="1" applyFill="1" applyBorder="1" applyAlignment="1">
      <alignment horizontal="center"/>
    </xf>
    <xf numFmtId="1" fontId="0" fillId="0" borderId="0" xfId="0" applyNumberFormat="1"/>
    <xf numFmtId="0" fontId="21" fillId="0" borderId="0" xfId="4"/>
    <xf numFmtId="0" fontId="22" fillId="0" borderId="14" xfId="4" applyFont="1" applyBorder="1" applyAlignment="1">
      <alignment horizontal="center"/>
    </xf>
    <xf numFmtId="0" fontId="22" fillId="0" borderId="15" xfId="4" applyFont="1" applyBorder="1" applyAlignment="1">
      <alignment horizontal="center"/>
    </xf>
    <xf numFmtId="0" fontId="7" fillId="9" borderId="3" xfId="0" applyFont="1" applyFill="1" applyBorder="1" applyAlignment="1">
      <alignment horizontal="center" vertical="center"/>
    </xf>
    <xf numFmtId="0" fontId="7" fillId="5" borderId="3" xfId="0" applyFont="1" applyFill="1" applyBorder="1" applyAlignment="1">
      <alignment horizontal="center" vertical="center"/>
    </xf>
    <xf numFmtId="0" fontId="0" fillId="5" borderId="3" xfId="0" applyFill="1" applyBorder="1" applyAlignment="1">
      <alignment vertical="center" wrapText="1"/>
    </xf>
    <xf numFmtId="0" fontId="0" fillId="5" borderId="3" xfId="0" quotePrefix="1" applyFill="1" applyBorder="1" applyAlignment="1">
      <alignment horizontal="center" vertical="center" wrapText="1"/>
    </xf>
    <xf numFmtId="0" fontId="0" fillId="5" borderId="3" xfId="0" applyFill="1" applyBorder="1" applyAlignment="1">
      <alignment horizontal="right" vertical="center" wrapText="1"/>
    </xf>
    <xf numFmtId="0" fontId="7" fillId="5" borderId="3" xfId="0" applyFont="1" applyFill="1" applyBorder="1" applyAlignment="1">
      <alignment vertical="center" wrapText="1"/>
    </xf>
    <xf numFmtId="0" fontId="13" fillId="9" borderId="3" xfId="0" applyFont="1" applyFill="1" applyBorder="1" applyAlignment="1">
      <alignment horizontal="center" vertical="center"/>
    </xf>
    <xf numFmtId="0" fontId="0" fillId="9" borderId="3" xfId="0" applyFill="1" applyBorder="1" applyAlignment="1">
      <alignment horizontal="center" vertical="center"/>
    </xf>
    <xf numFmtId="0" fontId="8" fillId="9" borderId="3" xfId="0" applyFont="1" applyFill="1" applyBorder="1" applyAlignment="1">
      <alignment horizontal="center" vertical="center"/>
    </xf>
    <xf numFmtId="0" fontId="21" fillId="0" borderId="0" xfId="4" quotePrefix="1"/>
    <xf numFmtId="0" fontId="13" fillId="9" borderId="3" xfId="0" applyFont="1" applyFill="1" applyBorder="1" applyAlignment="1">
      <alignment horizontal="center"/>
    </xf>
    <xf numFmtId="0" fontId="8" fillId="9" borderId="3" xfId="0" applyFont="1" applyFill="1" applyBorder="1" applyAlignment="1">
      <alignment horizontal="center"/>
    </xf>
    <xf numFmtId="0" fontId="21" fillId="9" borderId="3" xfId="4" applyFill="1" applyBorder="1"/>
    <xf numFmtId="0" fontId="0" fillId="9" borderId="3" xfId="0" applyFill="1" applyBorder="1" applyAlignment="1">
      <alignment horizontal="center"/>
    </xf>
    <xf numFmtId="0" fontId="0" fillId="10" borderId="3" xfId="0" applyFill="1" applyBorder="1" applyAlignment="1">
      <alignment horizontal="right" vertical="center" wrapText="1"/>
    </xf>
    <xf numFmtId="0" fontId="0" fillId="10" borderId="3" xfId="0" applyFill="1" applyBorder="1"/>
    <xf numFmtId="0" fontId="7" fillId="10" borderId="3" xfId="0" applyFont="1" applyFill="1" applyBorder="1" applyAlignment="1">
      <alignment vertical="center" wrapText="1"/>
    </xf>
    <xf numFmtId="0" fontId="0" fillId="10" borderId="3" xfId="0" quotePrefix="1" applyFill="1" applyBorder="1" applyAlignment="1">
      <alignment vertical="center" wrapText="1"/>
    </xf>
    <xf numFmtId="0" fontId="8" fillId="3" borderId="3" xfId="0" applyFont="1" applyFill="1" applyBorder="1" applyAlignment="1" applyProtection="1">
      <alignment horizontal="center" vertical="center"/>
      <protection locked="0"/>
    </xf>
    <xf numFmtId="164" fontId="6" fillId="3" borderId="3" xfId="0" applyNumberFormat="1" applyFont="1" applyFill="1" applyBorder="1" applyAlignment="1" applyProtection="1">
      <alignment horizontal="center" vertical="center"/>
      <protection locked="0"/>
    </xf>
    <xf numFmtId="0" fontId="25" fillId="0" borderId="3" xfId="0" applyFont="1" applyBorder="1" applyAlignment="1">
      <alignment horizontal="center"/>
    </xf>
    <xf numFmtId="0" fontId="25" fillId="0" borderId="0" xfId="0" applyFont="1"/>
    <xf numFmtId="0" fontId="15" fillId="5" borderId="10" xfId="0" applyFont="1" applyFill="1" applyBorder="1" applyAlignment="1">
      <alignment horizontal="center" vertical="center"/>
    </xf>
    <xf numFmtId="0" fontId="6" fillId="2" borderId="19" xfId="0" applyFont="1" applyFill="1" applyBorder="1" applyAlignment="1">
      <alignment horizontal="center" vertical="center" wrapText="1"/>
    </xf>
    <xf numFmtId="0" fontId="23" fillId="3" borderId="20" xfId="0" applyFont="1" applyFill="1" applyBorder="1" applyAlignment="1" applyProtection="1">
      <alignment horizontal="left" vertical="center"/>
      <protection locked="0"/>
    </xf>
    <xf numFmtId="0" fontId="23" fillId="3" borderId="21" xfId="0" applyFont="1" applyFill="1" applyBorder="1" applyAlignment="1" applyProtection="1">
      <alignment horizontal="center" vertical="center" wrapText="1"/>
      <protection locked="0"/>
    </xf>
    <xf numFmtId="0" fontId="5" fillId="5" borderId="0" xfId="0" applyFont="1" applyFill="1" applyProtection="1">
      <protection hidden="1"/>
    </xf>
    <xf numFmtId="164" fontId="6" fillId="4" borderId="3" xfId="0" applyNumberFormat="1" applyFont="1" applyFill="1" applyBorder="1" applyAlignment="1" applyProtection="1">
      <alignment horizontal="center" vertical="center" wrapText="1"/>
      <protection hidden="1"/>
    </xf>
    <xf numFmtId="164" fontId="9" fillId="4" borderId="3" xfId="0" applyNumberFormat="1" applyFont="1" applyFill="1" applyBorder="1" applyAlignment="1" applyProtection="1">
      <alignment horizontal="center" vertical="center" wrapText="1"/>
      <protection hidden="1"/>
    </xf>
    <xf numFmtId="164" fontId="9" fillId="4" borderId="1" xfId="0" applyNumberFormat="1" applyFont="1" applyFill="1" applyBorder="1" applyAlignment="1" applyProtection="1">
      <alignment horizontal="center" vertical="center" wrapText="1"/>
      <protection hidden="1"/>
    </xf>
    <xf numFmtId="164" fontId="9" fillId="5" borderId="3" xfId="0" applyNumberFormat="1" applyFont="1" applyFill="1" applyBorder="1" applyAlignment="1" applyProtection="1">
      <alignment horizontal="center" vertical="center" wrapText="1"/>
      <protection hidden="1"/>
    </xf>
    <xf numFmtId="0" fontId="5" fillId="0" borderId="0" xfId="0" applyFont="1" applyProtection="1">
      <protection hidden="1"/>
    </xf>
    <xf numFmtId="0" fontId="7" fillId="5" borderId="0" xfId="0" applyFont="1" applyFill="1" applyAlignment="1" applyProtection="1">
      <alignment horizontal="center" vertical="center"/>
      <protection hidden="1"/>
    </xf>
    <xf numFmtId="0" fontId="24" fillId="5" borderId="3" xfId="0" applyFont="1" applyFill="1" applyBorder="1" applyAlignment="1" applyProtection="1">
      <alignment wrapText="1"/>
      <protection hidden="1"/>
    </xf>
    <xf numFmtId="0" fontId="7" fillId="5" borderId="3" xfId="0" applyFont="1" applyFill="1" applyBorder="1" applyAlignment="1" applyProtection="1">
      <alignment horizontal="center" vertical="center" wrapText="1"/>
      <protection hidden="1"/>
    </xf>
    <xf numFmtId="0" fontId="5" fillId="5" borderId="3" xfId="0" applyFont="1" applyFill="1" applyBorder="1" applyAlignment="1" applyProtection="1">
      <alignment horizontal="center" vertical="center"/>
      <protection hidden="1"/>
    </xf>
    <xf numFmtId="3" fontId="16" fillId="5" borderId="3" xfId="0" applyNumberFormat="1" applyFont="1" applyFill="1" applyBorder="1" applyAlignment="1" applyProtection="1">
      <alignment horizontal="center"/>
      <protection hidden="1"/>
    </xf>
    <xf numFmtId="164" fontId="16" fillId="5" borderId="3" xfId="0" applyNumberFormat="1" applyFont="1" applyFill="1" applyBorder="1" applyAlignment="1" applyProtection="1">
      <alignment horizontal="center" vertical="center" shrinkToFit="1"/>
      <protection hidden="1"/>
    </xf>
    <xf numFmtId="167" fontId="6" fillId="7" borderId="3" xfId="0" applyNumberFormat="1" applyFont="1" applyFill="1" applyBorder="1" applyAlignment="1" applyProtection="1">
      <alignment horizontal="center"/>
      <protection hidden="1"/>
    </xf>
    <xf numFmtId="9" fontId="6" fillId="7" borderId="3" xfId="1" applyFont="1" applyFill="1" applyBorder="1" applyAlignment="1" applyProtection="1">
      <alignment horizontal="center"/>
      <protection hidden="1"/>
    </xf>
    <xf numFmtId="0" fontId="17" fillId="5" borderId="3" xfId="0" applyFont="1" applyFill="1" applyBorder="1" applyAlignment="1" applyProtection="1">
      <alignment horizontal="center"/>
      <protection hidden="1"/>
    </xf>
    <xf numFmtId="0" fontId="17" fillId="0" borderId="3" xfId="0" applyFont="1" applyBorder="1" applyAlignment="1" applyProtection="1">
      <alignment horizontal="center"/>
      <protection hidden="1"/>
    </xf>
    <xf numFmtId="0" fontId="0" fillId="0" borderId="0" xfId="0" applyProtection="1">
      <protection hidden="1"/>
    </xf>
    <xf numFmtId="0" fontId="7" fillId="0" borderId="0" xfId="0" applyFont="1" applyProtection="1">
      <protection hidden="1"/>
    </xf>
    <xf numFmtId="165" fontId="7" fillId="7" borderId="3" xfId="0" applyNumberFormat="1" applyFont="1" applyFill="1" applyBorder="1" applyAlignment="1" applyProtection="1">
      <alignment horizontal="center"/>
      <protection hidden="1"/>
    </xf>
    <xf numFmtId="9" fontId="3" fillId="5" borderId="0" xfId="1" applyFont="1" applyFill="1" applyProtection="1">
      <protection hidden="1"/>
    </xf>
    <xf numFmtId="9" fontId="3" fillId="5" borderId="3" xfId="1" applyFont="1" applyFill="1" applyBorder="1" applyProtection="1">
      <protection hidden="1"/>
    </xf>
    <xf numFmtId="1" fontId="10" fillId="5" borderId="10" xfId="0" applyNumberFormat="1" applyFont="1" applyFill="1" applyBorder="1" applyAlignment="1" applyProtection="1">
      <alignment horizontal="center" vertical="center" shrinkToFit="1"/>
      <protection hidden="1"/>
    </xf>
    <xf numFmtId="0" fontId="7" fillId="5" borderId="0" xfId="0" applyFont="1" applyFill="1" applyAlignment="1" applyProtection="1">
      <alignment horizontal="center"/>
      <protection hidden="1"/>
    </xf>
    <xf numFmtId="0" fontId="0" fillId="0" borderId="0" xfId="0" applyAlignment="1" applyProtection="1">
      <alignment horizontal="center"/>
      <protection hidden="1"/>
    </xf>
    <xf numFmtId="1" fontId="28" fillId="5" borderId="10" xfId="0" applyNumberFormat="1" applyFont="1" applyFill="1" applyBorder="1" applyAlignment="1" applyProtection="1">
      <alignment horizontal="center" vertical="center" shrinkToFit="1"/>
      <protection hidden="1"/>
    </xf>
    <xf numFmtId="0" fontId="25" fillId="0" borderId="3" xfId="0" applyFont="1" applyBorder="1" applyAlignment="1" applyProtection="1">
      <alignment horizontal="center"/>
      <protection hidden="1"/>
    </xf>
    <xf numFmtId="165" fontId="29" fillId="7" borderId="3" xfId="0" applyNumberFormat="1" applyFont="1" applyFill="1" applyBorder="1" applyAlignment="1" applyProtection="1">
      <alignment horizontal="center"/>
      <protection hidden="1"/>
    </xf>
    <xf numFmtId="0" fontId="0" fillId="0" borderId="3" xfId="0" applyBorder="1" applyAlignment="1" applyProtection="1">
      <alignment horizontal="center"/>
      <protection hidden="1"/>
    </xf>
    <xf numFmtId="165" fontId="6" fillId="7" borderId="3" xfId="0" applyNumberFormat="1" applyFont="1" applyFill="1" applyBorder="1" applyAlignment="1" applyProtection="1">
      <alignment horizontal="center"/>
      <protection hidden="1"/>
    </xf>
    <xf numFmtId="0" fontId="0" fillId="0" borderId="3" xfId="0" applyBorder="1" applyAlignment="1" applyProtection="1">
      <alignment horizontal="center" vertical="center"/>
      <protection hidden="1"/>
    </xf>
    <xf numFmtId="165" fontId="5" fillId="5" borderId="0" xfId="0" applyNumberFormat="1" applyFont="1" applyFill="1" applyProtection="1">
      <protection hidden="1"/>
    </xf>
    <xf numFmtId="0" fontId="7" fillId="5" borderId="17" xfId="0" applyFont="1" applyFill="1" applyBorder="1" applyProtection="1">
      <protection hidden="1"/>
    </xf>
    <xf numFmtId="0" fontId="0" fillId="5" borderId="0" xfId="0" applyFill="1" applyProtection="1">
      <protection hidden="1"/>
    </xf>
    <xf numFmtId="0" fontId="22" fillId="0" borderId="16" xfId="4" applyFont="1" applyBorder="1" applyAlignment="1" applyProtection="1">
      <alignment horizontal="center"/>
      <protection hidden="1"/>
    </xf>
    <xf numFmtId="0" fontId="7" fillId="5" borderId="3" xfId="0" applyFont="1" applyFill="1" applyBorder="1" applyAlignment="1" applyProtection="1">
      <alignment horizontal="center" vertical="center"/>
      <protection hidden="1"/>
    </xf>
    <xf numFmtId="0" fontId="8" fillId="5" borderId="3" xfId="0" applyFont="1" applyFill="1" applyBorder="1" applyAlignment="1" applyProtection="1">
      <alignment horizontal="center" vertical="center"/>
      <protection hidden="1"/>
    </xf>
    <xf numFmtId="0" fontId="0" fillId="5" borderId="3" xfId="0" applyFill="1" applyBorder="1" applyProtection="1">
      <protection hidden="1"/>
    </xf>
    <xf numFmtId="9" fontId="7" fillId="9" borderId="3" xfId="0" applyNumberFormat="1" applyFont="1" applyFill="1" applyBorder="1" applyAlignment="1" applyProtection="1">
      <alignment horizontal="center"/>
      <protection hidden="1"/>
    </xf>
    <xf numFmtId="1" fontId="7" fillId="9" borderId="3" xfId="1" applyNumberFormat="1" applyFont="1" applyFill="1" applyBorder="1" applyAlignment="1" applyProtection="1">
      <alignment horizontal="center"/>
      <protection hidden="1"/>
    </xf>
    <xf numFmtId="1" fontId="7" fillId="9" borderId="3" xfId="0" applyNumberFormat="1" applyFont="1" applyFill="1" applyBorder="1" applyAlignment="1" applyProtection="1">
      <alignment horizontal="center"/>
      <protection hidden="1"/>
    </xf>
    <xf numFmtId="0" fontId="0" fillId="10" borderId="3" xfId="0" applyFill="1" applyBorder="1" applyProtection="1">
      <protection hidden="1"/>
    </xf>
    <xf numFmtId="0" fontId="6" fillId="5" borderId="7" xfId="0" applyFont="1" applyFill="1" applyBorder="1" applyAlignment="1">
      <alignment horizontal="center" vertical="center"/>
    </xf>
    <xf numFmtId="0" fontId="6" fillId="5" borderId="6"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18" xfId="0" applyFont="1" applyFill="1" applyBorder="1" applyAlignment="1">
      <alignment horizontal="center" vertical="center"/>
    </xf>
    <xf numFmtId="0" fontId="2" fillId="0" borderId="0" xfId="2" applyFont="1" applyAlignment="1">
      <alignment horizontal="center"/>
    </xf>
    <xf numFmtId="0" fontId="27" fillId="5" borderId="8" xfId="0" applyFont="1" applyFill="1" applyBorder="1" applyAlignment="1">
      <alignment horizontal="center" vertical="center" wrapText="1"/>
    </xf>
    <xf numFmtId="0" fontId="27" fillId="5" borderId="10" xfId="0" applyFont="1" applyFill="1" applyBorder="1" applyAlignment="1">
      <alignment horizontal="center" vertical="center" wrapText="1"/>
    </xf>
    <xf numFmtId="0" fontId="27" fillId="5" borderId="7" xfId="0" applyFont="1" applyFill="1" applyBorder="1" applyAlignment="1">
      <alignment horizontal="center" vertical="center" wrapText="1"/>
    </xf>
    <xf numFmtId="0" fontId="27" fillId="5" borderId="9" xfId="0" applyFont="1" applyFill="1" applyBorder="1" applyAlignment="1">
      <alignment horizontal="center" vertical="center" wrapText="1"/>
    </xf>
    <xf numFmtId="0" fontId="1" fillId="0" borderId="5" xfId="2" applyBorder="1" applyAlignment="1">
      <alignment horizontal="center"/>
    </xf>
    <xf numFmtId="0" fontId="1" fillId="0" borderId="12" xfId="2" applyBorder="1" applyAlignment="1">
      <alignment horizontal="center"/>
    </xf>
    <xf numFmtId="0" fontId="1" fillId="0" borderId="3" xfId="2" applyBorder="1" applyAlignment="1">
      <alignment horizontal="center"/>
    </xf>
    <xf numFmtId="0" fontId="1" fillId="0" borderId="8" xfId="2" applyBorder="1" applyAlignment="1">
      <alignment horizontal="center"/>
    </xf>
    <xf numFmtId="0" fontId="4" fillId="0" borderId="0" xfId="0" applyFont="1" applyAlignment="1">
      <alignment horizontal="center"/>
    </xf>
    <xf numFmtId="0" fontId="7" fillId="0" borderId="3" xfId="0" applyFont="1" applyBorder="1" applyAlignment="1">
      <alignment horizontal="center" vertical="center"/>
    </xf>
    <xf numFmtId="1" fontId="10" fillId="4" borderId="6" xfId="0" applyNumberFormat="1" applyFont="1" applyFill="1" applyBorder="1" applyAlignment="1" applyProtection="1">
      <alignment horizontal="center" vertical="center" shrinkToFit="1"/>
      <protection hidden="1"/>
    </xf>
    <xf numFmtId="1" fontId="10" fillId="4" borderId="2" xfId="0" applyNumberFormat="1" applyFont="1" applyFill="1" applyBorder="1" applyAlignment="1" applyProtection="1">
      <alignment horizontal="center" vertical="center" shrinkToFit="1"/>
      <protection hidden="1"/>
    </xf>
    <xf numFmtId="0" fontId="11" fillId="5" borderId="3"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5" xfId="0" applyFont="1" applyFill="1" applyBorder="1" applyAlignment="1">
      <alignment horizontal="center" vertical="center" wrapText="1"/>
    </xf>
  </cellXfs>
  <cellStyles count="5">
    <cellStyle name="Normalny" xfId="0" builtinId="0"/>
    <cellStyle name="Normalny 2 3" xfId="2" xr:uid="{7337CDFA-8D8B-4724-8C10-853155D2660C}"/>
    <cellStyle name="Normalny 3" xfId="3" xr:uid="{E05B11F8-42A1-4C71-BA38-88758B04DF26}"/>
    <cellStyle name="Normalny 4" xfId="4" xr:uid="{E11F6B64-FA2D-428D-ABFC-4113BDECBF9E}"/>
    <cellStyle name="Procentowy" xfId="1" builtinId="5"/>
  </cellStyles>
  <dxfs count="6">
    <dxf>
      <font>
        <color rgb="FF9C0006"/>
      </font>
      <fill>
        <patternFill>
          <bgColor rgb="FFFFC7CE"/>
        </patternFill>
      </fill>
    </dxf>
    <dxf>
      <fill>
        <patternFill>
          <bgColor rgb="FFFFFF99"/>
        </patternFill>
      </fill>
    </dxf>
    <dxf>
      <fill>
        <patternFill>
          <bgColor rgb="FFFFFFCC"/>
        </patternFill>
      </fill>
    </dxf>
    <dxf>
      <fill>
        <patternFill>
          <bgColor rgb="FFFFFF99"/>
        </patternFill>
      </fill>
    </dxf>
    <dxf>
      <fill>
        <patternFill>
          <bgColor rgb="FF33CC33"/>
        </patternFill>
      </fill>
    </dxf>
    <dxf>
      <font>
        <strike/>
      </font>
      <numFmt numFmtId="0" formatCode="General"/>
      <fill>
        <patternFill>
          <bgColor rgb="FFFFCCCC"/>
        </patternFill>
      </fill>
    </dxf>
  </dxfs>
  <tableStyles count="0" defaultTableStyle="TableStyleMedium2" defaultPivotStyle="PivotStyleLight16"/>
  <colors>
    <mruColors>
      <color rgb="FFFFFF99"/>
      <color rgb="FFFFCCCC"/>
      <color rgb="FFFF0000"/>
      <color rgb="FFFF3300"/>
      <color rgb="FFFF9999"/>
      <color rgb="FFFF9933"/>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000000"/>
                </a:solidFill>
                <a:latin typeface="Arial"/>
                <a:ea typeface="Arial"/>
                <a:cs typeface="Arial"/>
              </a:defRPr>
            </a:pPr>
            <a:r>
              <a:rPr lang="pl-PL"/>
              <a:t>PORÓWNANIE</a:t>
            </a:r>
            <a:r>
              <a:rPr lang="pl-PL" baseline="0"/>
              <a:t> WAPN wg WYLICZONEGO WSKAŹNIKA RELACJI JAKOŚCI DO KOSZTU NA 1ha</a:t>
            </a:r>
          </a:p>
        </c:rich>
      </c:tx>
      <c:layout>
        <c:manualLayout>
          <c:xMode val="edge"/>
          <c:yMode val="edge"/>
          <c:x val="0.29710145198596022"/>
          <c:y val="2.2222351643914333E-2"/>
        </c:manualLayout>
      </c:layout>
      <c:overlay val="0"/>
      <c:spPr>
        <a:noFill/>
        <a:ln w="25400">
          <a:noFill/>
        </a:ln>
      </c:spPr>
    </c:title>
    <c:autoTitleDeleted val="0"/>
    <c:view3D>
      <c:rotX val="15"/>
      <c:hPercent val="14"/>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2.8255534611477777E-2"/>
          <c:y val="0.19682554937496077"/>
          <c:w val="0.96007392603782105"/>
          <c:h val="0.65714336646156257"/>
        </c:manualLayout>
      </c:layout>
      <c:bar3D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DFE-42B5-A0C9-1E7DA5BA1A5C}"/>
              </c:ext>
            </c:extLst>
          </c:dPt>
          <c:dLbls>
            <c:spPr>
              <a:noFill/>
              <a:ln w="25400">
                <a:noFill/>
              </a:ln>
            </c:spPr>
            <c:txPr>
              <a:bodyPr rot="-2700000" vert="horz" wrap="square" lIns="38100" tIns="19050" rIns="38100" bIns="19050" anchor="ctr">
                <a:spAutoFit/>
              </a:bodyPr>
              <a:lstStyle/>
              <a:p>
                <a:pPr algn="ctr">
                  <a:defRPr sz="1100" b="1" i="0" u="none" strike="noStrike" baseline="0">
                    <a:solidFill>
                      <a:srgbClr val="000000"/>
                    </a:solidFill>
                    <a:latin typeface="Arial"/>
                    <a:ea typeface="Arial"/>
                    <a:cs typeface="Arial"/>
                  </a:defRPr>
                </a:pPr>
                <a:endParaRPr lang="pl-PL"/>
              </a:p>
            </c:txPr>
            <c:showLegendKey val="0"/>
            <c:showVal val="0"/>
            <c:showCatName val="1"/>
            <c:showSerName val="0"/>
            <c:showPercent val="0"/>
            <c:showBubbleSize val="0"/>
            <c:separator>
</c:separator>
            <c:showLeaderLines val="0"/>
            <c:extLst>
              <c:ext xmlns:c15="http://schemas.microsoft.com/office/drawing/2012/chart" uri="{CE6537A1-D6FC-4f65-9D91-7224C49458BB}">
                <c15:showLeaderLines val="0"/>
              </c:ext>
            </c:extLst>
          </c:dLbls>
          <c:cat>
            <c:numRef>
              <c:f>'TABELA+WYKRES'!$A$6:$A$14</c:f>
              <c:numCache>
                <c:formatCode>General</c:formatCode>
                <c:ptCount val="9"/>
              </c:numCache>
            </c:numRef>
          </c:cat>
          <c:val>
            <c:numRef>
              <c:f>'TABELA+WYKRES'!$Q$6:$Q$14</c:f>
              <c:numCache>
                <c:formatCode>#\ ##0.000000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0DFE-42B5-A0C9-1E7DA5BA1A5C}"/>
            </c:ext>
          </c:extLst>
        </c:ser>
        <c:dLbls>
          <c:showLegendKey val="0"/>
          <c:showVal val="0"/>
          <c:showCatName val="0"/>
          <c:showSerName val="0"/>
          <c:showPercent val="0"/>
          <c:showBubbleSize val="0"/>
        </c:dLbls>
        <c:gapWidth val="150"/>
        <c:shape val="box"/>
        <c:axId val="495195008"/>
        <c:axId val="1"/>
        <c:axId val="0"/>
      </c:bar3DChart>
      <c:catAx>
        <c:axId val="4951950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pl-PL"/>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 ##0.000000"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pl-PL"/>
          </a:p>
        </c:txPr>
        <c:crossAx val="495195008"/>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pl-PL"/>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53340</xdr:rowOff>
    </xdr:from>
    <xdr:to>
      <xdr:col>19</xdr:col>
      <xdr:colOff>0</xdr:colOff>
      <xdr:row>30</xdr:row>
      <xdr:rowOff>88900</xdr:rowOff>
    </xdr:to>
    <xdr:graphicFrame macro="">
      <xdr:nvGraphicFramePr>
        <xdr:cNvPr id="2" name="Wykres 22">
          <a:extLst>
            <a:ext uri="{FF2B5EF4-FFF2-40B4-BE49-F238E27FC236}">
              <a16:creationId xmlns:a16="http://schemas.microsoft.com/office/drawing/2014/main" id="{77A4BCEA-FE5E-4153-97E2-96AD2A5C64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F2352-AFF5-4000-A3A8-1BC66278B298}">
  <sheetPr>
    <tabColor rgb="FF92D050"/>
  </sheetPr>
  <dimension ref="A1:BM287"/>
  <sheetViews>
    <sheetView tabSelected="1" zoomScaleNormal="100" workbookViewId="0">
      <selection sqref="A1:R1"/>
    </sheetView>
  </sheetViews>
  <sheetFormatPr defaultColWidth="9.140625" defaultRowHeight="12.75" x14ac:dyDescent="0.2"/>
  <cols>
    <col min="1" max="1" width="27.140625" customWidth="1"/>
    <col min="2" max="2" width="14.7109375" customWidth="1"/>
    <col min="3" max="3" width="10.5703125" customWidth="1"/>
    <col min="4" max="4" width="13.28515625" customWidth="1"/>
    <col min="5" max="5" width="11.28515625" hidden="1" customWidth="1"/>
    <col min="6" max="6" width="28" customWidth="1"/>
    <col min="7" max="7" width="9.28515625" customWidth="1"/>
    <col min="8" max="9" width="11.7109375" customWidth="1"/>
    <col min="10" max="10" width="11.28515625" customWidth="1"/>
    <col min="11" max="11" width="11.140625" customWidth="1"/>
    <col min="12" max="12" width="12" customWidth="1"/>
    <col min="13" max="13" width="18.28515625" customWidth="1"/>
    <col min="14" max="14" width="23.85546875" customWidth="1"/>
    <col min="15" max="15" width="15.7109375" customWidth="1"/>
    <col min="16" max="16" width="14.7109375" customWidth="1"/>
    <col min="17" max="17" width="19" style="24" customWidth="1"/>
    <col min="18" max="18" width="27.7109375" style="24" customWidth="1"/>
    <col min="19" max="19" width="15.7109375" style="24" customWidth="1"/>
    <col min="20" max="20" width="18.42578125" style="24" hidden="1" customWidth="1"/>
    <col min="21" max="36" width="5.7109375" hidden="1" customWidth="1"/>
    <col min="37" max="37" width="12.140625" hidden="1" customWidth="1"/>
    <col min="38" max="40" width="9.140625" hidden="1" customWidth="1"/>
    <col min="41" max="41" width="6.7109375" hidden="1" customWidth="1"/>
    <col min="42" max="42" width="9.28515625" hidden="1" customWidth="1"/>
    <col min="43" max="43" width="7.28515625" hidden="1" customWidth="1"/>
    <col min="44" max="44" width="27.140625" customWidth="1"/>
    <col min="45" max="45" width="42.7109375" customWidth="1"/>
    <col min="46" max="46" width="0.140625" hidden="1" customWidth="1"/>
    <col min="47" max="47" width="45.42578125" customWidth="1"/>
    <col min="48" max="48" width="6.28515625" hidden="1" customWidth="1"/>
    <col min="49" max="49" width="45.28515625" customWidth="1"/>
    <col min="50" max="50" width="23.140625" customWidth="1"/>
    <col min="51" max="51" width="39.28515625" customWidth="1"/>
    <col min="52" max="52" width="21.140625" hidden="1" customWidth="1"/>
    <col min="53" max="53" width="13.85546875" hidden="1" customWidth="1"/>
    <col min="54" max="54" width="15.7109375" hidden="1" customWidth="1"/>
    <col min="55" max="55" width="9.5703125" hidden="1" customWidth="1"/>
    <col min="56" max="56" width="16.28515625" customWidth="1"/>
    <col min="57" max="57" width="11.7109375" hidden="1" customWidth="1"/>
    <col min="58" max="58" width="12" hidden="1" customWidth="1"/>
    <col min="59" max="59" width="12.85546875" hidden="1" customWidth="1"/>
    <col min="60" max="60" width="18.28515625" hidden="1" customWidth="1"/>
    <col min="61" max="61" width="15.7109375" hidden="1" customWidth="1"/>
    <col min="62" max="62" width="12.28515625" customWidth="1"/>
    <col min="67" max="67" width="9.140625" customWidth="1"/>
    <col min="262" max="262" width="12.140625" customWidth="1"/>
    <col min="263" max="263" width="28" customWidth="1"/>
    <col min="264" max="264" width="9.28515625" customWidth="1"/>
    <col min="265" max="266" width="11.7109375" customWidth="1"/>
    <col min="267" max="267" width="11.28515625" customWidth="1"/>
    <col min="268" max="268" width="11.140625" customWidth="1"/>
    <col min="269" max="269" width="12" customWidth="1"/>
    <col min="270" max="270" width="18.28515625" customWidth="1"/>
    <col min="271" max="271" width="15.5703125" customWidth="1"/>
    <col min="272" max="272" width="15.7109375" customWidth="1"/>
    <col min="273" max="273" width="14.7109375" customWidth="1"/>
    <col min="274" max="274" width="19" customWidth="1"/>
    <col min="275" max="275" width="27.7109375" customWidth="1"/>
    <col min="276" max="276" width="18" customWidth="1"/>
    <col min="277" max="277" width="18.42578125" customWidth="1"/>
    <col min="278" max="293" width="5.7109375" customWidth="1"/>
    <col min="294" max="294" width="12.140625" bestFit="1" customWidth="1"/>
    <col min="298" max="298" width="9.5703125" bestFit="1" customWidth="1"/>
    <col min="518" max="518" width="12.140625" customWidth="1"/>
    <col min="519" max="519" width="28" customWidth="1"/>
    <col min="520" max="520" width="9.28515625" customWidth="1"/>
    <col min="521" max="522" width="11.7109375" customWidth="1"/>
    <col min="523" max="523" width="11.28515625" customWidth="1"/>
    <col min="524" max="524" width="11.140625" customWidth="1"/>
    <col min="525" max="525" width="12" customWidth="1"/>
    <col min="526" max="526" width="18.28515625" customWidth="1"/>
    <col min="527" max="527" width="15.5703125" customWidth="1"/>
    <col min="528" max="528" width="15.7109375" customWidth="1"/>
    <col min="529" max="529" width="14.7109375" customWidth="1"/>
    <col min="530" max="530" width="19" customWidth="1"/>
    <col min="531" max="531" width="27.7109375" customWidth="1"/>
    <col min="532" max="532" width="18" customWidth="1"/>
    <col min="533" max="533" width="18.42578125" customWidth="1"/>
    <col min="534" max="549" width="5.7109375" customWidth="1"/>
    <col min="550" max="550" width="12.140625" bestFit="1" customWidth="1"/>
    <col min="554" max="554" width="9.5703125" bestFit="1" customWidth="1"/>
    <col min="774" max="774" width="12.140625" customWidth="1"/>
    <col min="775" max="775" width="28" customWidth="1"/>
    <col min="776" max="776" width="9.28515625" customWidth="1"/>
    <col min="777" max="778" width="11.7109375" customWidth="1"/>
    <col min="779" max="779" width="11.28515625" customWidth="1"/>
    <col min="780" max="780" width="11.140625" customWidth="1"/>
    <col min="781" max="781" width="12" customWidth="1"/>
    <col min="782" max="782" width="18.28515625" customWidth="1"/>
    <col min="783" max="783" width="15.5703125" customWidth="1"/>
    <col min="784" max="784" width="15.7109375" customWidth="1"/>
    <col min="785" max="785" width="14.7109375" customWidth="1"/>
    <col min="786" max="786" width="19" customWidth="1"/>
    <col min="787" max="787" width="27.7109375" customWidth="1"/>
    <col min="788" max="788" width="18" customWidth="1"/>
    <col min="789" max="789" width="18.42578125" customWidth="1"/>
    <col min="790" max="805" width="5.7109375" customWidth="1"/>
    <col min="806" max="806" width="12.140625" bestFit="1" customWidth="1"/>
    <col min="810" max="810" width="9.5703125" bestFit="1" customWidth="1"/>
    <col min="1030" max="1030" width="12.140625" customWidth="1"/>
    <col min="1031" max="1031" width="28" customWidth="1"/>
    <col min="1032" max="1032" width="9.28515625" customWidth="1"/>
    <col min="1033" max="1034" width="11.7109375" customWidth="1"/>
    <col min="1035" max="1035" width="11.28515625" customWidth="1"/>
    <col min="1036" max="1036" width="11.140625" customWidth="1"/>
    <col min="1037" max="1037" width="12" customWidth="1"/>
    <col min="1038" max="1038" width="18.28515625" customWidth="1"/>
    <col min="1039" max="1039" width="15.5703125" customWidth="1"/>
    <col min="1040" max="1040" width="15.7109375" customWidth="1"/>
    <col min="1041" max="1041" width="14.7109375" customWidth="1"/>
    <col min="1042" max="1042" width="19" customWidth="1"/>
    <col min="1043" max="1043" width="27.7109375" customWidth="1"/>
    <col min="1044" max="1044" width="18" customWidth="1"/>
    <col min="1045" max="1045" width="18.42578125" customWidth="1"/>
    <col min="1046" max="1061" width="5.7109375" customWidth="1"/>
    <col min="1062" max="1062" width="12.140625" bestFit="1" customWidth="1"/>
    <col min="1066" max="1066" width="9.5703125" bestFit="1" customWidth="1"/>
    <col min="1286" max="1286" width="12.140625" customWidth="1"/>
    <col min="1287" max="1287" width="28" customWidth="1"/>
    <col min="1288" max="1288" width="9.28515625" customWidth="1"/>
    <col min="1289" max="1290" width="11.7109375" customWidth="1"/>
    <col min="1291" max="1291" width="11.28515625" customWidth="1"/>
    <col min="1292" max="1292" width="11.140625" customWidth="1"/>
    <col min="1293" max="1293" width="12" customWidth="1"/>
    <col min="1294" max="1294" width="18.28515625" customWidth="1"/>
    <col min="1295" max="1295" width="15.5703125" customWidth="1"/>
    <col min="1296" max="1296" width="15.7109375" customWidth="1"/>
    <col min="1297" max="1297" width="14.7109375" customWidth="1"/>
    <col min="1298" max="1298" width="19" customWidth="1"/>
    <col min="1299" max="1299" width="27.7109375" customWidth="1"/>
    <col min="1300" max="1300" width="18" customWidth="1"/>
    <col min="1301" max="1301" width="18.42578125" customWidth="1"/>
    <col min="1302" max="1317" width="5.7109375" customWidth="1"/>
    <col min="1318" max="1318" width="12.140625" bestFit="1" customWidth="1"/>
    <col min="1322" max="1322" width="9.5703125" bestFit="1" customWidth="1"/>
    <col min="1542" max="1542" width="12.140625" customWidth="1"/>
    <col min="1543" max="1543" width="28" customWidth="1"/>
    <col min="1544" max="1544" width="9.28515625" customWidth="1"/>
    <col min="1545" max="1546" width="11.7109375" customWidth="1"/>
    <col min="1547" max="1547" width="11.28515625" customWidth="1"/>
    <col min="1548" max="1548" width="11.140625" customWidth="1"/>
    <col min="1549" max="1549" width="12" customWidth="1"/>
    <col min="1550" max="1550" width="18.28515625" customWidth="1"/>
    <col min="1551" max="1551" width="15.5703125" customWidth="1"/>
    <col min="1552" max="1552" width="15.7109375" customWidth="1"/>
    <col min="1553" max="1553" width="14.7109375" customWidth="1"/>
    <col min="1554" max="1554" width="19" customWidth="1"/>
    <col min="1555" max="1555" width="27.7109375" customWidth="1"/>
    <col min="1556" max="1556" width="18" customWidth="1"/>
    <col min="1557" max="1557" width="18.42578125" customWidth="1"/>
    <col min="1558" max="1573" width="5.7109375" customWidth="1"/>
    <col min="1574" max="1574" width="12.140625" bestFit="1" customWidth="1"/>
    <col min="1578" max="1578" width="9.5703125" bestFit="1" customWidth="1"/>
    <col min="1798" max="1798" width="12.140625" customWidth="1"/>
    <col min="1799" max="1799" width="28" customWidth="1"/>
    <col min="1800" max="1800" width="9.28515625" customWidth="1"/>
    <col min="1801" max="1802" width="11.7109375" customWidth="1"/>
    <col min="1803" max="1803" width="11.28515625" customWidth="1"/>
    <col min="1804" max="1804" width="11.140625" customWidth="1"/>
    <col min="1805" max="1805" width="12" customWidth="1"/>
    <col min="1806" max="1806" width="18.28515625" customWidth="1"/>
    <col min="1807" max="1807" width="15.5703125" customWidth="1"/>
    <col min="1808" max="1808" width="15.7109375" customWidth="1"/>
    <col min="1809" max="1809" width="14.7109375" customWidth="1"/>
    <col min="1810" max="1810" width="19" customWidth="1"/>
    <col min="1811" max="1811" width="27.7109375" customWidth="1"/>
    <col min="1812" max="1812" width="18" customWidth="1"/>
    <col min="1813" max="1813" width="18.42578125" customWidth="1"/>
    <col min="1814" max="1829" width="5.7109375" customWidth="1"/>
    <col min="1830" max="1830" width="12.140625" bestFit="1" customWidth="1"/>
    <col min="1834" max="1834" width="9.5703125" bestFit="1" customWidth="1"/>
    <col min="2054" max="2054" width="12.140625" customWidth="1"/>
    <col min="2055" max="2055" width="28" customWidth="1"/>
    <col min="2056" max="2056" width="9.28515625" customWidth="1"/>
    <col min="2057" max="2058" width="11.7109375" customWidth="1"/>
    <col min="2059" max="2059" width="11.28515625" customWidth="1"/>
    <col min="2060" max="2060" width="11.140625" customWidth="1"/>
    <col min="2061" max="2061" width="12" customWidth="1"/>
    <col min="2062" max="2062" width="18.28515625" customWidth="1"/>
    <col min="2063" max="2063" width="15.5703125" customWidth="1"/>
    <col min="2064" max="2064" width="15.7109375" customWidth="1"/>
    <col min="2065" max="2065" width="14.7109375" customWidth="1"/>
    <col min="2066" max="2066" width="19" customWidth="1"/>
    <col min="2067" max="2067" width="27.7109375" customWidth="1"/>
    <col min="2068" max="2068" width="18" customWidth="1"/>
    <col min="2069" max="2069" width="18.42578125" customWidth="1"/>
    <col min="2070" max="2085" width="5.7109375" customWidth="1"/>
    <col min="2086" max="2086" width="12.140625" bestFit="1" customWidth="1"/>
    <col min="2090" max="2090" width="9.5703125" bestFit="1" customWidth="1"/>
    <col min="2310" max="2310" width="12.140625" customWidth="1"/>
    <col min="2311" max="2311" width="28" customWidth="1"/>
    <col min="2312" max="2312" width="9.28515625" customWidth="1"/>
    <col min="2313" max="2314" width="11.7109375" customWidth="1"/>
    <col min="2315" max="2315" width="11.28515625" customWidth="1"/>
    <col min="2316" max="2316" width="11.140625" customWidth="1"/>
    <col min="2317" max="2317" width="12" customWidth="1"/>
    <col min="2318" max="2318" width="18.28515625" customWidth="1"/>
    <col min="2319" max="2319" width="15.5703125" customWidth="1"/>
    <col min="2320" max="2320" width="15.7109375" customWidth="1"/>
    <col min="2321" max="2321" width="14.7109375" customWidth="1"/>
    <col min="2322" max="2322" width="19" customWidth="1"/>
    <col min="2323" max="2323" width="27.7109375" customWidth="1"/>
    <col min="2324" max="2324" width="18" customWidth="1"/>
    <col min="2325" max="2325" width="18.42578125" customWidth="1"/>
    <col min="2326" max="2341" width="5.7109375" customWidth="1"/>
    <col min="2342" max="2342" width="12.140625" bestFit="1" customWidth="1"/>
    <col min="2346" max="2346" width="9.5703125" bestFit="1" customWidth="1"/>
    <col min="2566" max="2566" width="12.140625" customWidth="1"/>
    <col min="2567" max="2567" width="28" customWidth="1"/>
    <col min="2568" max="2568" width="9.28515625" customWidth="1"/>
    <col min="2569" max="2570" width="11.7109375" customWidth="1"/>
    <col min="2571" max="2571" width="11.28515625" customWidth="1"/>
    <col min="2572" max="2572" width="11.140625" customWidth="1"/>
    <col min="2573" max="2573" width="12" customWidth="1"/>
    <col min="2574" max="2574" width="18.28515625" customWidth="1"/>
    <col min="2575" max="2575" width="15.5703125" customWidth="1"/>
    <col min="2576" max="2576" width="15.7109375" customWidth="1"/>
    <col min="2577" max="2577" width="14.7109375" customWidth="1"/>
    <col min="2578" max="2578" width="19" customWidth="1"/>
    <col min="2579" max="2579" width="27.7109375" customWidth="1"/>
    <col min="2580" max="2580" width="18" customWidth="1"/>
    <col min="2581" max="2581" width="18.42578125" customWidth="1"/>
    <col min="2582" max="2597" width="5.7109375" customWidth="1"/>
    <col min="2598" max="2598" width="12.140625" bestFit="1" customWidth="1"/>
    <col min="2602" max="2602" width="9.5703125" bestFit="1" customWidth="1"/>
    <col min="2822" max="2822" width="12.140625" customWidth="1"/>
    <col min="2823" max="2823" width="28" customWidth="1"/>
    <col min="2824" max="2824" width="9.28515625" customWidth="1"/>
    <col min="2825" max="2826" width="11.7109375" customWidth="1"/>
    <col min="2827" max="2827" width="11.28515625" customWidth="1"/>
    <col min="2828" max="2828" width="11.140625" customWidth="1"/>
    <col min="2829" max="2829" width="12" customWidth="1"/>
    <col min="2830" max="2830" width="18.28515625" customWidth="1"/>
    <col min="2831" max="2831" width="15.5703125" customWidth="1"/>
    <col min="2832" max="2832" width="15.7109375" customWidth="1"/>
    <col min="2833" max="2833" width="14.7109375" customWidth="1"/>
    <col min="2834" max="2834" width="19" customWidth="1"/>
    <col min="2835" max="2835" width="27.7109375" customWidth="1"/>
    <col min="2836" max="2836" width="18" customWidth="1"/>
    <col min="2837" max="2837" width="18.42578125" customWidth="1"/>
    <col min="2838" max="2853" width="5.7109375" customWidth="1"/>
    <col min="2854" max="2854" width="12.140625" bestFit="1" customWidth="1"/>
    <col min="2858" max="2858" width="9.5703125" bestFit="1" customWidth="1"/>
    <col min="3078" max="3078" width="12.140625" customWidth="1"/>
    <col min="3079" max="3079" width="28" customWidth="1"/>
    <col min="3080" max="3080" width="9.28515625" customWidth="1"/>
    <col min="3081" max="3082" width="11.7109375" customWidth="1"/>
    <col min="3083" max="3083" width="11.28515625" customWidth="1"/>
    <col min="3084" max="3084" width="11.140625" customWidth="1"/>
    <col min="3085" max="3085" width="12" customWidth="1"/>
    <col min="3086" max="3086" width="18.28515625" customWidth="1"/>
    <col min="3087" max="3087" width="15.5703125" customWidth="1"/>
    <col min="3088" max="3088" width="15.7109375" customWidth="1"/>
    <col min="3089" max="3089" width="14.7109375" customWidth="1"/>
    <col min="3090" max="3090" width="19" customWidth="1"/>
    <col min="3091" max="3091" width="27.7109375" customWidth="1"/>
    <col min="3092" max="3092" width="18" customWidth="1"/>
    <col min="3093" max="3093" width="18.42578125" customWidth="1"/>
    <col min="3094" max="3109" width="5.7109375" customWidth="1"/>
    <col min="3110" max="3110" width="12.140625" bestFit="1" customWidth="1"/>
    <col min="3114" max="3114" width="9.5703125" bestFit="1" customWidth="1"/>
    <col min="3334" max="3334" width="12.140625" customWidth="1"/>
    <col min="3335" max="3335" width="28" customWidth="1"/>
    <col min="3336" max="3336" width="9.28515625" customWidth="1"/>
    <col min="3337" max="3338" width="11.7109375" customWidth="1"/>
    <col min="3339" max="3339" width="11.28515625" customWidth="1"/>
    <col min="3340" max="3340" width="11.140625" customWidth="1"/>
    <col min="3341" max="3341" width="12" customWidth="1"/>
    <col min="3342" max="3342" width="18.28515625" customWidth="1"/>
    <col min="3343" max="3343" width="15.5703125" customWidth="1"/>
    <col min="3344" max="3344" width="15.7109375" customWidth="1"/>
    <col min="3345" max="3345" width="14.7109375" customWidth="1"/>
    <col min="3346" max="3346" width="19" customWidth="1"/>
    <col min="3347" max="3347" width="27.7109375" customWidth="1"/>
    <col min="3348" max="3348" width="18" customWidth="1"/>
    <col min="3349" max="3349" width="18.42578125" customWidth="1"/>
    <col min="3350" max="3365" width="5.7109375" customWidth="1"/>
    <col min="3366" max="3366" width="12.140625" bestFit="1" customWidth="1"/>
    <col min="3370" max="3370" width="9.5703125" bestFit="1" customWidth="1"/>
    <col min="3590" max="3590" width="12.140625" customWidth="1"/>
    <col min="3591" max="3591" width="28" customWidth="1"/>
    <col min="3592" max="3592" width="9.28515625" customWidth="1"/>
    <col min="3593" max="3594" width="11.7109375" customWidth="1"/>
    <col min="3595" max="3595" width="11.28515625" customWidth="1"/>
    <col min="3596" max="3596" width="11.140625" customWidth="1"/>
    <col min="3597" max="3597" width="12" customWidth="1"/>
    <col min="3598" max="3598" width="18.28515625" customWidth="1"/>
    <col min="3599" max="3599" width="15.5703125" customWidth="1"/>
    <col min="3600" max="3600" width="15.7109375" customWidth="1"/>
    <col min="3601" max="3601" width="14.7109375" customWidth="1"/>
    <col min="3602" max="3602" width="19" customWidth="1"/>
    <col min="3603" max="3603" width="27.7109375" customWidth="1"/>
    <col min="3604" max="3604" width="18" customWidth="1"/>
    <col min="3605" max="3605" width="18.42578125" customWidth="1"/>
    <col min="3606" max="3621" width="5.7109375" customWidth="1"/>
    <col min="3622" max="3622" width="12.140625" bestFit="1" customWidth="1"/>
    <col min="3626" max="3626" width="9.5703125" bestFit="1" customWidth="1"/>
    <col min="3846" max="3846" width="12.140625" customWidth="1"/>
    <col min="3847" max="3847" width="28" customWidth="1"/>
    <col min="3848" max="3848" width="9.28515625" customWidth="1"/>
    <col min="3849" max="3850" width="11.7109375" customWidth="1"/>
    <col min="3851" max="3851" width="11.28515625" customWidth="1"/>
    <col min="3852" max="3852" width="11.140625" customWidth="1"/>
    <col min="3853" max="3853" width="12" customWidth="1"/>
    <col min="3854" max="3854" width="18.28515625" customWidth="1"/>
    <col min="3855" max="3855" width="15.5703125" customWidth="1"/>
    <col min="3856" max="3856" width="15.7109375" customWidth="1"/>
    <col min="3857" max="3857" width="14.7109375" customWidth="1"/>
    <col min="3858" max="3858" width="19" customWidth="1"/>
    <col min="3859" max="3859" width="27.7109375" customWidth="1"/>
    <col min="3860" max="3860" width="18" customWidth="1"/>
    <col min="3861" max="3861" width="18.42578125" customWidth="1"/>
    <col min="3862" max="3877" width="5.7109375" customWidth="1"/>
    <col min="3878" max="3878" width="12.140625" bestFit="1" customWidth="1"/>
    <col min="3882" max="3882" width="9.5703125" bestFit="1" customWidth="1"/>
    <col min="4102" max="4102" width="12.140625" customWidth="1"/>
    <col min="4103" max="4103" width="28" customWidth="1"/>
    <col min="4104" max="4104" width="9.28515625" customWidth="1"/>
    <col min="4105" max="4106" width="11.7109375" customWidth="1"/>
    <col min="4107" max="4107" width="11.28515625" customWidth="1"/>
    <col min="4108" max="4108" width="11.140625" customWidth="1"/>
    <col min="4109" max="4109" width="12" customWidth="1"/>
    <col min="4110" max="4110" width="18.28515625" customWidth="1"/>
    <col min="4111" max="4111" width="15.5703125" customWidth="1"/>
    <col min="4112" max="4112" width="15.7109375" customWidth="1"/>
    <col min="4113" max="4113" width="14.7109375" customWidth="1"/>
    <col min="4114" max="4114" width="19" customWidth="1"/>
    <col min="4115" max="4115" width="27.7109375" customWidth="1"/>
    <col min="4116" max="4116" width="18" customWidth="1"/>
    <col min="4117" max="4117" width="18.42578125" customWidth="1"/>
    <col min="4118" max="4133" width="5.7109375" customWidth="1"/>
    <col min="4134" max="4134" width="12.140625" bestFit="1" customWidth="1"/>
    <col min="4138" max="4138" width="9.5703125" bestFit="1" customWidth="1"/>
    <col min="4358" max="4358" width="12.140625" customWidth="1"/>
    <col min="4359" max="4359" width="28" customWidth="1"/>
    <col min="4360" max="4360" width="9.28515625" customWidth="1"/>
    <col min="4361" max="4362" width="11.7109375" customWidth="1"/>
    <col min="4363" max="4363" width="11.28515625" customWidth="1"/>
    <col min="4364" max="4364" width="11.140625" customWidth="1"/>
    <col min="4365" max="4365" width="12" customWidth="1"/>
    <col min="4366" max="4366" width="18.28515625" customWidth="1"/>
    <col min="4367" max="4367" width="15.5703125" customWidth="1"/>
    <col min="4368" max="4368" width="15.7109375" customWidth="1"/>
    <col min="4369" max="4369" width="14.7109375" customWidth="1"/>
    <col min="4370" max="4370" width="19" customWidth="1"/>
    <col min="4371" max="4371" width="27.7109375" customWidth="1"/>
    <col min="4372" max="4372" width="18" customWidth="1"/>
    <col min="4373" max="4373" width="18.42578125" customWidth="1"/>
    <col min="4374" max="4389" width="5.7109375" customWidth="1"/>
    <col min="4390" max="4390" width="12.140625" bestFit="1" customWidth="1"/>
    <col min="4394" max="4394" width="9.5703125" bestFit="1" customWidth="1"/>
    <col min="4614" max="4614" width="12.140625" customWidth="1"/>
    <col min="4615" max="4615" width="28" customWidth="1"/>
    <col min="4616" max="4616" width="9.28515625" customWidth="1"/>
    <col min="4617" max="4618" width="11.7109375" customWidth="1"/>
    <col min="4619" max="4619" width="11.28515625" customWidth="1"/>
    <col min="4620" max="4620" width="11.140625" customWidth="1"/>
    <col min="4621" max="4621" width="12" customWidth="1"/>
    <col min="4622" max="4622" width="18.28515625" customWidth="1"/>
    <col min="4623" max="4623" width="15.5703125" customWidth="1"/>
    <col min="4624" max="4624" width="15.7109375" customWidth="1"/>
    <col min="4625" max="4625" width="14.7109375" customWidth="1"/>
    <col min="4626" max="4626" width="19" customWidth="1"/>
    <col min="4627" max="4627" width="27.7109375" customWidth="1"/>
    <col min="4628" max="4628" width="18" customWidth="1"/>
    <col min="4629" max="4629" width="18.42578125" customWidth="1"/>
    <col min="4630" max="4645" width="5.7109375" customWidth="1"/>
    <col min="4646" max="4646" width="12.140625" bestFit="1" customWidth="1"/>
    <col min="4650" max="4650" width="9.5703125" bestFit="1" customWidth="1"/>
    <col min="4870" max="4870" width="12.140625" customWidth="1"/>
    <col min="4871" max="4871" width="28" customWidth="1"/>
    <col min="4872" max="4872" width="9.28515625" customWidth="1"/>
    <col min="4873" max="4874" width="11.7109375" customWidth="1"/>
    <col min="4875" max="4875" width="11.28515625" customWidth="1"/>
    <col min="4876" max="4876" width="11.140625" customWidth="1"/>
    <col min="4877" max="4877" width="12" customWidth="1"/>
    <col min="4878" max="4878" width="18.28515625" customWidth="1"/>
    <col min="4879" max="4879" width="15.5703125" customWidth="1"/>
    <col min="4880" max="4880" width="15.7109375" customWidth="1"/>
    <col min="4881" max="4881" width="14.7109375" customWidth="1"/>
    <col min="4882" max="4882" width="19" customWidth="1"/>
    <col min="4883" max="4883" width="27.7109375" customWidth="1"/>
    <col min="4884" max="4884" width="18" customWidth="1"/>
    <col min="4885" max="4885" width="18.42578125" customWidth="1"/>
    <col min="4886" max="4901" width="5.7109375" customWidth="1"/>
    <col min="4902" max="4902" width="12.140625" bestFit="1" customWidth="1"/>
    <col min="4906" max="4906" width="9.5703125" bestFit="1" customWidth="1"/>
    <col min="5126" max="5126" width="12.140625" customWidth="1"/>
    <col min="5127" max="5127" width="28" customWidth="1"/>
    <col min="5128" max="5128" width="9.28515625" customWidth="1"/>
    <col min="5129" max="5130" width="11.7109375" customWidth="1"/>
    <col min="5131" max="5131" width="11.28515625" customWidth="1"/>
    <col min="5132" max="5132" width="11.140625" customWidth="1"/>
    <col min="5133" max="5133" width="12" customWidth="1"/>
    <col min="5134" max="5134" width="18.28515625" customWidth="1"/>
    <col min="5135" max="5135" width="15.5703125" customWidth="1"/>
    <col min="5136" max="5136" width="15.7109375" customWidth="1"/>
    <col min="5137" max="5137" width="14.7109375" customWidth="1"/>
    <col min="5138" max="5138" width="19" customWidth="1"/>
    <col min="5139" max="5139" width="27.7109375" customWidth="1"/>
    <col min="5140" max="5140" width="18" customWidth="1"/>
    <col min="5141" max="5141" width="18.42578125" customWidth="1"/>
    <col min="5142" max="5157" width="5.7109375" customWidth="1"/>
    <col min="5158" max="5158" width="12.140625" bestFit="1" customWidth="1"/>
    <col min="5162" max="5162" width="9.5703125" bestFit="1" customWidth="1"/>
    <col min="5382" max="5382" width="12.140625" customWidth="1"/>
    <col min="5383" max="5383" width="28" customWidth="1"/>
    <col min="5384" max="5384" width="9.28515625" customWidth="1"/>
    <col min="5385" max="5386" width="11.7109375" customWidth="1"/>
    <col min="5387" max="5387" width="11.28515625" customWidth="1"/>
    <col min="5388" max="5388" width="11.140625" customWidth="1"/>
    <col min="5389" max="5389" width="12" customWidth="1"/>
    <col min="5390" max="5390" width="18.28515625" customWidth="1"/>
    <col min="5391" max="5391" width="15.5703125" customWidth="1"/>
    <col min="5392" max="5392" width="15.7109375" customWidth="1"/>
    <col min="5393" max="5393" width="14.7109375" customWidth="1"/>
    <col min="5394" max="5394" width="19" customWidth="1"/>
    <col min="5395" max="5395" width="27.7109375" customWidth="1"/>
    <col min="5396" max="5396" width="18" customWidth="1"/>
    <col min="5397" max="5397" width="18.42578125" customWidth="1"/>
    <col min="5398" max="5413" width="5.7109375" customWidth="1"/>
    <col min="5414" max="5414" width="12.140625" bestFit="1" customWidth="1"/>
    <col min="5418" max="5418" width="9.5703125" bestFit="1" customWidth="1"/>
    <col min="5638" max="5638" width="12.140625" customWidth="1"/>
    <col min="5639" max="5639" width="28" customWidth="1"/>
    <col min="5640" max="5640" width="9.28515625" customWidth="1"/>
    <col min="5641" max="5642" width="11.7109375" customWidth="1"/>
    <col min="5643" max="5643" width="11.28515625" customWidth="1"/>
    <col min="5644" max="5644" width="11.140625" customWidth="1"/>
    <col min="5645" max="5645" width="12" customWidth="1"/>
    <col min="5646" max="5646" width="18.28515625" customWidth="1"/>
    <col min="5647" max="5647" width="15.5703125" customWidth="1"/>
    <col min="5648" max="5648" width="15.7109375" customWidth="1"/>
    <col min="5649" max="5649" width="14.7109375" customWidth="1"/>
    <col min="5650" max="5650" width="19" customWidth="1"/>
    <col min="5651" max="5651" width="27.7109375" customWidth="1"/>
    <col min="5652" max="5652" width="18" customWidth="1"/>
    <col min="5653" max="5653" width="18.42578125" customWidth="1"/>
    <col min="5654" max="5669" width="5.7109375" customWidth="1"/>
    <col min="5670" max="5670" width="12.140625" bestFit="1" customWidth="1"/>
    <col min="5674" max="5674" width="9.5703125" bestFit="1" customWidth="1"/>
    <col min="5894" max="5894" width="12.140625" customWidth="1"/>
    <col min="5895" max="5895" width="28" customWidth="1"/>
    <col min="5896" max="5896" width="9.28515625" customWidth="1"/>
    <col min="5897" max="5898" width="11.7109375" customWidth="1"/>
    <col min="5899" max="5899" width="11.28515625" customWidth="1"/>
    <col min="5900" max="5900" width="11.140625" customWidth="1"/>
    <col min="5901" max="5901" width="12" customWidth="1"/>
    <col min="5902" max="5902" width="18.28515625" customWidth="1"/>
    <col min="5903" max="5903" width="15.5703125" customWidth="1"/>
    <col min="5904" max="5904" width="15.7109375" customWidth="1"/>
    <col min="5905" max="5905" width="14.7109375" customWidth="1"/>
    <col min="5906" max="5906" width="19" customWidth="1"/>
    <col min="5907" max="5907" width="27.7109375" customWidth="1"/>
    <col min="5908" max="5908" width="18" customWidth="1"/>
    <col min="5909" max="5909" width="18.42578125" customWidth="1"/>
    <col min="5910" max="5925" width="5.7109375" customWidth="1"/>
    <col min="5926" max="5926" width="12.140625" bestFit="1" customWidth="1"/>
    <col min="5930" max="5930" width="9.5703125" bestFit="1" customWidth="1"/>
    <col min="6150" max="6150" width="12.140625" customWidth="1"/>
    <col min="6151" max="6151" width="28" customWidth="1"/>
    <col min="6152" max="6152" width="9.28515625" customWidth="1"/>
    <col min="6153" max="6154" width="11.7109375" customWidth="1"/>
    <col min="6155" max="6155" width="11.28515625" customWidth="1"/>
    <col min="6156" max="6156" width="11.140625" customWidth="1"/>
    <col min="6157" max="6157" width="12" customWidth="1"/>
    <col min="6158" max="6158" width="18.28515625" customWidth="1"/>
    <col min="6159" max="6159" width="15.5703125" customWidth="1"/>
    <col min="6160" max="6160" width="15.7109375" customWidth="1"/>
    <col min="6161" max="6161" width="14.7109375" customWidth="1"/>
    <col min="6162" max="6162" width="19" customWidth="1"/>
    <col min="6163" max="6163" width="27.7109375" customWidth="1"/>
    <col min="6164" max="6164" width="18" customWidth="1"/>
    <col min="6165" max="6165" width="18.42578125" customWidth="1"/>
    <col min="6166" max="6181" width="5.7109375" customWidth="1"/>
    <col min="6182" max="6182" width="12.140625" bestFit="1" customWidth="1"/>
    <col min="6186" max="6186" width="9.5703125" bestFit="1" customWidth="1"/>
    <col min="6406" max="6406" width="12.140625" customWidth="1"/>
    <col min="6407" max="6407" width="28" customWidth="1"/>
    <col min="6408" max="6408" width="9.28515625" customWidth="1"/>
    <col min="6409" max="6410" width="11.7109375" customWidth="1"/>
    <col min="6411" max="6411" width="11.28515625" customWidth="1"/>
    <col min="6412" max="6412" width="11.140625" customWidth="1"/>
    <col min="6413" max="6413" width="12" customWidth="1"/>
    <col min="6414" max="6414" width="18.28515625" customWidth="1"/>
    <col min="6415" max="6415" width="15.5703125" customWidth="1"/>
    <col min="6416" max="6416" width="15.7109375" customWidth="1"/>
    <col min="6417" max="6417" width="14.7109375" customWidth="1"/>
    <col min="6418" max="6418" width="19" customWidth="1"/>
    <col min="6419" max="6419" width="27.7109375" customWidth="1"/>
    <col min="6420" max="6420" width="18" customWidth="1"/>
    <col min="6421" max="6421" width="18.42578125" customWidth="1"/>
    <col min="6422" max="6437" width="5.7109375" customWidth="1"/>
    <col min="6438" max="6438" width="12.140625" bestFit="1" customWidth="1"/>
    <col min="6442" max="6442" width="9.5703125" bestFit="1" customWidth="1"/>
    <col min="6662" max="6662" width="12.140625" customWidth="1"/>
    <col min="6663" max="6663" width="28" customWidth="1"/>
    <col min="6664" max="6664" width="9.28515625" customWidth="1"/>
    <col min="6665" max="6666" width="11.7109375" customWidth="1"/>
    <col min="6667" max="6667" width="11.28515625" customWidth="1"/>
    <col min="6668" max="6668" width="11.140625" customWidth="1"/>
    <col min="6669" max="6669" width="12" customWidth="1"/>
    <col min="6670" max="6670" width="18.28515625" customWidth="1"/>
    <col min="6671" max="6671" width="15.5703125" customWidth="1"/>
    <col min="6672" max="6672" width="15.7109375" customWidth="1"/>
    <col min="6673" max="6673" width="14.7109375" customWidth="1"/>
    <col min="6674" max="6674" width="19" customWidth="1"/>
    <col min="6675" max="6675" width="27.7109375" customWidth="1"/>
    <col min="6676" max="6676" width="18" customWidth="1"/>
    <col min="6677" max="6677" width="18.42578125" customWidth="1"/>
    <col min="6678" max="6693" width="5.7109375" customWidth="1"/>
    <col min="6694" max="6694" width="12.140625" bestFit="1" customWidth="1"/>
    <col min="6698" max="6698" width="9.5703125" bestFit="1" customWidth="1"/>
    <col min="6918" max="6918" width="12.140625" customWidth="1"/>
    <col min="6919" max="6919" width="28" customWidth="1"/>
    <col min="6920" max="6920" width="9.28515625" customWidth="1"/>
    <col min="6921" max="6922" width="11.7109375" customWidth="1"/>
    <col min="6923" max="6923" width="11.28515625" customWidth="1"/>
    <col min="6924" max="6924" width="11.140625" customWidth="1"/>
    <col min="6925" max="6925" width="12" customWidth="1"/>
    <col min="6926" max="6926" width="18.28515625" customWidth="1"/>
    <col min="6927" max="6927" width="15.5703125" customWidth="1"/>
    <col min="6928" max="6928" width="15.7109375" customWidth="1"/>
    <col min="6929" max="6929" width="14.7109375" customWidth="1"/>
    <col min="6930" max="6930" width="19" customWidth="1"/>
    <col min="6931" max="6931" width="27.7109375" customWidth="1"/>
    <col min="6932" max="6932" width="18" customWidth="1"/>
    <col min="6933" max="6933" width="18.42578125" customWidth="1"/>
    <col min="6934" max="6949" width="5.7109375" customWidth="1"/>
    <col min="6950" max="6950" width="12.140625" bestFit="1" customWidth="1"/>
    <col min="6954" max="6954" width="9.5703125" bestFit="1" customWidth="1"/>
    <col min="7174" max="7174" width="12.140625" customWidth="1"/>
    <col min="7175" max="7175" width="28" customWidth="1"/>
    <col min="7176" max="7176" width="9.28515625" customWidth="1"/>
    <col min="7177" max="7178" width="11.7109375" customWidth="1"/>
    <col min="7179" max="7179" width="11.28515625" customWidth="1"/>
    <col min="7180" max="7180" width="11.140625" customWidth="1"/>
    <col min="7181" max="7181" width="12" customWidth="1"/>
    <col min="7182" max="7182" width="18.28515625" customWidth="1"/>
    <col min="7183" max="7183" width="15.5703125" customWidth="1"/>
    <col min="7184" max="7184" width="15.7109375" customWidth="1"/>
    <col min="7185" max="7185" width="14.7109375" customWidth="1"/>
    <col min="7186" max="7186" width="19" customWidth="1"/>
    <col min="7187" max="7187" width="27.7109375" customWidth="1"/>
    <col min="7188" max="7188" width="18" customWidth="1"/>
    <col min="7189" max="7189" width="18.42578125" customWidth="1"/>
    <col min="7190" max="7205" width="5.7109375" customWidth="1"/>
    <col min="7206" max="7206" width="12.140625" bestFit="1" customWidth="1"/>
    <col min="7210" max="7210" width="9.5703125" bestFit="1" customWidth="1"/>
    <col min="7430" max="7430" width="12.140625" customWidth="1"/>
    <col min="7431" max="7431" width="28" customWidth="1"/>
    <col min="7432" max="7432" width="9.28515625" customWidth="1"/>
    <col min="7433" max="7434" width="11.7109375" customWidth="1"/>
    <col min="7435" max="7435" width="11.28515625" customWidth="1"/>
    <col min="7436" max="7436" width="11.140625" customWidth="1"/>
    <col min="7437" max="7437" width="12" customWidth="1"/>
    <col min="7438" max="7438" width="18.28515625" customWidth="1"/>
    <col min="7439" max="7439" width="15.5703125" customWidth="1"/>
    <col min="7440" max="7440" width="15.7109375" customWidth="1"/>
    <col min="7441" max="7441" width="14.7109375" customWidth="1"/>
    <col min="7442" max="7442" width="19" customWidth="1"/>
    <col min="7443" max="7443" width="27.7109375" customWidth="1"/>
    <col min="7444" max="7444" width="18" customWidth="1"/>
    <col min="7445" max="7445" width="18.42578125" customWidth="1"/>
    <col min="7446" max="7461" width="5.7109375" customWidth="1"/>
    <col min="7462" max="7462" width="12.140625" bestFit="1" customWidth="1"/>
    <col min="7466" max="7466" width="9.5703125" bestFit="1" customWidth="1"/>
    <col min="7686" max="7686" width="12.140625" customWidth="1"/>
    <col min="7687" max="7687" width="28" customWidth="1"/>
    <col min="7688" max="7688" width="9.28515625" customWidth="1"/>
    <col min="7689" max="7690" width="11.7109375" customWidth="1"/>
    <col min="7691" max="7691" width="11.28515625" customWidth="1"/>
    <col min="7692" max="7692" width="11.140625" customWidth="1"/>
    <col min="7693" max="7693" width="12" customWidth="1"/>
    <col min="7694" max="7694" width="18.28515625" customWidth="1"/>
    <col min="7695" max="7695" width="15.5703125" customWidth="1"/>
    <col min="7696" max="7696" width="15.7109375" customWidth="1"/>
    <col min="7697" max="7697" width="14.7109375" customWidth="1"/>
    <col min="7698" max="7698" width="19" customWidth="1"/>
    <col min="7699" max="7699" width="27.7109375" customWidth="1"/>
    <col min="7700" max="7700" width="18" customWidth="1"/>
    <col min="7701" max="7701" width="18.42578125" customWidth="1"/>
    <col min="7702" max="7717" width="5.7109375" customWidth="1"/>
    <col min="7718" max="7718" width="12.140625" bestFit="1" customWidth="1"/>
    <col min="7722" max="7722" width="9.5703125" bestFit="1" customWidth="1"/>
    <col min="7942" max="7942" width="12.140625" customWidth="1"/>
    <col min="7943" max="7943" width="28" customWidth="1"/>
    <col min="7944" max="7944" width="9.28515625" customWidth="1"/>
    <col min="7945" max="7946" width="11.7109375" customWidth="1"/>
    <col min="7947" max="7947" width="11.28515625" customWidth="1"/>
    <col min="7948" max="7948" width="11.140625" customWidth="1"/>
    <col min="7949" max="7949" width="12" customWidth="1"/>
    <col min="7950" max="7950" width="18.28515625" customWidth="1"/>
    <col min="7951" max="7951" width="15.5703125" customWidth="1"/>
    <col min="7952" max="7952" width="15.7109375" customWidth="1"/>
    <col min="7953" max="7953" width="14.7109375" customWidth="1"/>
    <col min="7954" max="7954" width="19" customWidth="1"/>
    <col min="7955" max="7955" width="27.7109375" customWidth="1"/>
    <col min="7956" max="7956" width="18" customWidth="1"/>
    <col min="7957" max="7957" width="18.42578125" customWidth="1"/>
    <col min="7958" max="7973" width="5.7109375" customWidth="1"/>
    <col min="7974" max="7974" width="12.140625" bestFit="1" customWidth="1"/>
    <col min="7978" max="7978" width="9.5703125" bestFit="1" customWidth="1"/>
    <col min="8198" max="8198" width="12.140625" customWidth="1"/>
    <col min="8199" max="8199" width="28" customWidth="1"/>
    <col min="8200" max="8200" width="9.28515625" customWidth="1"/>
    <col min="8201" max="8202" width="11.7109375" customWidth="1"/>
    <col min="8203" max="8203" width="11.28515625" customWidth="1"/>
    <col min="8204" max="8204" width="11.140625" customWidth="1"/>
    <col min="8205" max="8205" width="12" customWidth="1"/>
    <col min="8206" max="8206" width="18.28515625" customWidth="1"/>
    <col min="8207" max="8207" width="15.5703125" customWidth="1"/>
    <col min="8208" max="8208" width="15.7109375" customWidth="1"/>
    <col min="8209" max="8209" width="14.7109375" customWidth="1"/>
    <col min="8210" max="8210" width="19" customWidth="1"/>
    <col min="8211" max="8211" width="27.7109375" customWidth="1"/>
    <col min="8212" max="8212" width="18" customWidth="1"/>
    <col min="8213" max="8213" width="18.42578125" customWidth="1"/>
    <col min="8214" max="8229" width="5.7109375" customWidth="1"/>
    <col min="8230" max="8230" width="12.140625" bestFit="1" customWidth="1"/>
    <col min="8234" max="8234" width="9.5703125" bestFit="1" customWidth="1"/>
    <col min="8454" max="8454" width="12.140625" customWidth="1"/>
    <col min="8455" max="8455" width="28" customWidth="1"/>
    <col min="8456" max="8456" width="9.28515625" customWidth="1"/>
    <col min="8457" max="8458" width="11.7109375" customWidth="1"/>
    <col min="8459" max="8459" width="11.28515625" customWidth="1"/>
    <col min="8460" max="8460" width="11.140625" customWidth="1"/>
    <col min="8461" max="8461" width="12" customWidth="1"/>
    <col min="8462" max="8462" width="18.28515625" customWidth="1"/>
    <col min="8463" max="8463" width="15.5703125" customWidth="1"/>
    <col min="8464" max="8464" width="15.7109375" customWidth="1"/>
    <col min="8465" max="8465" width="14.7109375" customWidth="1"/>
    <col min="8466" max="8466" width="19" customWidth="1"/>
    <col min="8467" max="8467" width="27.7109375" customWidth="1"/>
    <col min="8468" max="8468" width="18" customWidth="1"/>
    <col min="8469" max="8469" width="18.42578125" customWidth="1"/>
    <col min="8470" max="8485" width="5.7109375" customWidth="1"/>
    <col min="8486" max="8486" width="12.140625" bestFit="1" customWidth="1"/>
    <col min="8490" max="8490" width="9.5703125" bestFit="1" customWidth="1"/>
    <col min="8710" max="8710" width="12.140625" customWidth="1"/>
    <col min="8711" max="8711" width="28" customWidth="1"/>
    <col min="8712" max="8712" width="9.28515625" customWidth="1"/>
    <col min="8713" max="8714" width="11.7109375" customWidth="1"/>
    <col min="8715" max="8715" width="11.28515625" customWidth="1"/>
    <col min="8716" max="8716" width="11.140625" customWidth="1"/>
    <col min="8717" max="8717" width="12" customWidth="1"/>
    <col min="8718" max="8718" width="18.28515625" customWidth="1"/>
    <col min="8719" max="8719" width="15.5703125" customWidth="1"/>
    <col min="8720" max="8720" width="15.7109375" customWidth="1"/>
    <col min="8721" max="8721" width="14.7109375" customWidth="1"/>
    <col min="8722" max="8722" width="19" customWidth="1"/>
    <col min="8723" max="8723" width="27.7109375" customWidth="1"/>
    <col min="8724" max="8724" width="18" customWidth="1"/>
    <col min="8725" max="8725" width="18.42578125" customWidth="1"/>
    <col min="8726" max="8741" width="5.7109375" customWidth="1"/>
    <col min="8742" max="8742" width="12.140625" bestFit="1" customWidth="1"/>
    <col min="8746" max="8746" width="9.5703125" bestFit="1" customWidth="1"/>
    <col min="8966" max="8966" width="12.140625" customWidth="1"/>
    <col min="8967" max="8967" width="28" customWidth="1"/>
    <col min="8968" max="8968" width="9.28515625" customWidth="1"/>
    <col min="8969" max="8970" width="11.7109375" customWidth="1"/>
    <col min="8971" max="8971" width="11.28515625" customWidth="1"/>
    <col min="8972" max="8972" width="11.140625" customWidth="1"/>
    <col min="8973" max="8973" width="12" customWidth="1"/>
    <col min="8974" max="8974" width="18.28515625" customWidth="1"/>
    <col min="8975" max="8975" width="15.5703125" customWidth="1"/>
    <col min="8976" max="8976" width="15.7109375" customWidth="1"/>
    <col min="8977" max="8977" width="14.7109375" customWidth="1"/>
    <col min="8978" max="8978" width="19" customWidth="1"/>
    <col min="8979" max="8979" width="27.7109375" customWidth="1"/>
    <col min="8980" max="8980" width="18" customWidth="1"/>
    <col min="8981" max="8981" width="18.42578125" customWidth="1"/>
    <col min="8982" max="8997" width="5.7109375" customWidth="1"/>
    <col min="8998" max="8998" width="12.140625" bestFit="1" customWidth="1"/>
    <col min="9002" max="9002" width="9.5703125" bestFit="1" customWidth="1"/>
    <col min="9222" max="9222" width="12.140625" customWidth="1"/>
    <col min="9223" max="9223" width="28" customWidth="1"/>
    <col min="9224" max="9224" width="9.28515625" customWidth="1"/>
    <col min="9225" max="9226" width="11.7109375" customWidth="1"/>
    <col min="9227" max="9227" width="11.28515625" customWidth="1"/>
    <col min="9228" max="9228" width="11.140625" customWidth="1"/>
    <col min="9229" max="9229" width="12" customWidth="1"/>
    <col min="9230" max="9230" width="18.28515625" customWidth="1"/>
    <col min="9231" max="9231" width="15.5703125" customWidth="1"/>
    <col min="9232" max="9232" width="15.7109375" customWidth="1"/>
    <col min="9233" max="9233" width="14.7109375" customWidth="1"/>
    <col min="9234" max="9234" width="19" customWidth="1"/>
    <col min="9235" max="9235" width="27.7109375" customWidth="1"/>
    <col min="9236" max="9236" width="18" customWidth="1"/>
    <col min="9237" max="9237" width="18.42578125" customWidth="1"/>
    <col min="9238" max="9253" width="5.7109375" customWidth="1"/>
    <col min="9254" max="9254" width="12.140625" bestFit="1" customWidth="1"/>
    <col min="9258" max="9258" width="9.5703125" bestFit="1" customWidth="1"/>
    <col min="9478" max="9478" width="12.140625" customWidth="1"/>
    <col min="9479" max="9479" width="28" customWidth="1"/>
    <col min="9480" max="9480" width="9.28515625" customWidth="1"/>
    <col min="9481" max="9482" width="11.7109375" customWidth="1"/>
    <col min="9483" max="9483" width="11.28515625" customWidth="1"/>
    <col min="9484" max="9484" width="11.140625" customWidth="1"/>
    <col min="9485" max="9485" width="12" customWidth="1"/>
    <col min="9486" max="9486" width="18.28515625" customWidth="1"/>
    <col min="9487" max="9487" width="15.5703125" customWidth="1"/>
    <col min="9488" max="9488" width="15.7109375" customWidth="1"/>
    <col min="9489" max="9489" width="14.7109375" customWidth="1"/>
    <col min="9490" max="9490" width="19" customWidth="1"/>
    <col min="9491" max="9491" width="27.7109375" customWidth="1"/>
    <col min="9492" max="9492" width="18" customWidth="1"/>
    <col min="9493" max="9493" width="18.42578125" customWidth="1"/>
    <col min="9494" max="9509" width="5.7109375" customWidth="1"/>
    <col min="9510" max="9510" width="12.140625" bestFit="1" customWidth="1"/>
    <col min="9514" max="9514" width="9.5703125" bestFit="1" customWidth="1"/>
    <col min="9734" max="9734" width="12.140625" customWidth="1"/>
    <col min="9735" max="9735" width="28" customWidth="1"/>
    <col min="9736" max="9736" width="9.28515625" customWidth="1"/>
    <col min="9737" max="9738" width="11.7109375" customWidth="1"/>
    <col min="9739" max="9739" width="11.28515625" customWidth="1"/>
    <col min="9740" max="9740" width="11.140625" customWidth="1"/>
    <col min="9741" max="9741" width="12" customWidth="1"/>
    <col min="9742" max="9742" width="18.28515625" customWidth="1"/>
    <col min="9743" max="9743" width="15.5703125" customWidth="1"/>
    <col min="9744" max="9744" width="15.7109375" customWidth="1"/>
    <col min="9745" max="9745" width="14.7109375" customWidth="1"/>
    <col min="9746" max="9746" width="19" customWidth="1"/>
    <col min="9747" max="9747" width="27.7109375" customWidth="1"/>
    <col min="9748" max="9748" width="18" customWidth="1"/>
    <col min="9749" max="9749" width="18.42578125" customWidth="1"/>
    <col min="9750" max="9765" width="5.7109375" customWidth="1"/>
    <col min="9766" max="9766" width="12.140625" bestFit="1" customWidth="1"/>
    <col min="9770" max="9770" width="9.5703125" bestFit="1" customWidth="1"/>
    <col min="9990" max="9990" width="12.140625" customWidth="1"/>
    <col min="9991" max="9991" width="28" customWidth="1"/>
    <col min="9992" max="9992" width="9.28515625" customWidth="1"/>
    <col min="9993" max="9994" width="11.7109375" customWidth="1"/>
    <col min="9995" max="9995" width="11.28515625" customWidth="1"/>
    <col min="9996" max="9996" width="11.140625" customWidth="1"/>
    <col min="9997" max="9997" width="12" customWidth="1"/>
    <col min="9998" max="9998" width="18.28515625" customWidth="1"/>
    <col min="9999" max="9999" width="15.5703125" customWidth="1"/>
    <col min="10000" max="10000" width="15.7109375" customWidth="1"/>
    <col min="10001" max="10001" width="14.7109375" customWidth="1"/>
    <col min="10002" max="10002" width="19" customWidth="1"/>
    <col min="10003" max="10003" width="27.7109375" customWidth="1"/>
    <col min="10004" max="10004" width="18" customWidth="1"/>
    <col min="10005" max="10005" width="18.42578125" customWidth="1"/>
    <col min="10006" max="10021" width="5.7109375" customWidth="1"/>
    <col min="10022" max="10022" width="12.140625" bestFit="1" customWidth="1"/>
    <col min="10026" max="10026" width="9.5703125" bestFit="1" customWidth="1"/>
    <col min="10246" max="10246" width="12.140625" customWidth="1"/>
    <col min="10247" max="10247" width="28" customWidth="1"/>
    <col min="10248" max="10248" width="9.28515625" customWidth="1"/>
    <col min="10249" max="10250" width="11.7109375" customWidth="1"/>
    <col min="10251" max="10251" width="11.28515625" customWidth="1"/>
    <col min="10252" max="10252" width="11.140625" customWidth="1"/>
    <col min="10253" max="10253" width="12" customWidth="1"/>
    <col min="10254" max="10254" width="18.28515625" customWidth="1"/>
    <col min="10255" max="10255" width="15.5703125" customWidth="1"/>
    <col min="10256" max="10256" width="15.7109375" customWidth="1"/>
    <col min="10257" max="10257" width="14.7109375" customWidth="1"/>
    <col min="10258" max="10258" width="19" customWidth="1"/>
    <col min="10259" max="10259" width="27.7109375" customWidth="1"/>
    <col min="10260" max="10260" width="18" customWidth="1"/>
    <col min="10261" max="10261" width="18.42578125" customWidth="1"/>
    <col min="10262" max="10277" width="5.7109375" customWidth="1"/>
    <col min="10278" max="10278" width="12.140625" bestFit="1" customWidth="1"/>
    <col min="10282" max="10282" width="9.5703125" bestFit="1" customWidth="1"/>
    <col min="10502" max="10502" width="12.140625" customWidth="1"/>
    <col min="10503" max="10503" width="28" customWidth="1"/>
    <col min="10504" max="10504" width="9.28515625" customWidth="1"/>
    <col min="10505" max="10506" width="11.7109375" customWidth="1"/>
    <col min="10507" max="10507" width="11.28515625" customWidth="1"/>
    <col min="10508" max="10508" width="11.140625" customWidth="1"/>
    <col min="10509" max="10509" width="12" customWidth="1"/>
    <col min="10510" max="10510" width="18.28515625" customWidth="1"/>
    <col min="10511" max="10511" width="15.5703125" customWidth="1"/>
    <col min="10512" max="10512" width="15.7109375" customWidth="1"/>
    <col min="10513" max="10513" width="14.7109375" customWidth="1"/>
    <col min="10514" max="10514" width="19" customWidth="1"/>
    <col min="10515" max="10515" width="27.7109375" customWidth="1"/>
    <col min="10516" max="10516" width="18" customWidth="1"/>
    <col min="10517" max="10517" width="18.42578125" customWidth="1"/>
    <col min="10518" max="10533" width="5.7109375" customWidth="1"/>
    <col min="10534" max="10534" width="12.140625" bestFit="1" customWidth="1"/>
    <col min="10538" max="10538" width="9.5703125" bestFit="1" customWidth="1"/>
    <col min="10758" max="10758" width="12.140625" customWidth="1"/>
    <col min="10759" max="10759" width="28" customWidth="1"/>
    <col min="10760" max="10760" width="9.28515625" customWidth="1"/>
    <col min="10761" max="10762" width="11.7109375" customWidth="1"/>
    <col min="10763" max="10763" width="11.28515625" customWidth="1"/>
    <col min="10764" max="10764" width="11.140625" customWidth="1"/>
    <col min="10765" max="10765" width="12" customWidth="1"/>
    <col min="10766" max="10766" width="18.28515625" customWidth="1"/>
    <col min="10767" max="10767" width="15.5703125" customWidth="1"/>
    <col min="10768" max="10768" width="15.7109375" customWidth="1"/>
    <col min="10769" max="10769" width="14.7109375" customWidth="1"/>
    <col min="10770" max="10770" width="19" customWidth="1"/>
    <col min="10771" max="10771" width="27.7109375" customWidth="1"/>
    <col min="10772" max="10772" width="18" customWidth="1"/>
    <col min="10773" max="10773" width="18.42578125" customWidth="1"/>
    <col min="10774" max="10789" width="5.7109375" customWidth="1"/>
    <col min="10790" max="10790" width="12.140625" bestFit="1" customWidth="1"/>
    <col min="10794" max="10794" width="9.5703125" bestFit="1" customWidth="1"/>
    <col min="11014" max="11014" width="12.140625" customWidth="1"/>
    <col min="11015" max="11015" width="28" customWidth="1"/>
    <col min="11016" max="11016" width="9.28515625" customWidth="1"/>
    <col min="11017" max="11018" width="11.7109375" customWidth="1"/>
    <col min="11019" max="11019" width="11.28515625" customWidth="1"/>
    <col min="11020" max="11020" width="11.140625" customWidth="1"/>
    <col min="11021" max="11021" width="12" customWidth="1"/>
    <col min="11022" max="11022" width="18.28515625" customWidth="1"/>
    <col min="11023" max="11023" width="15.5703125" customWidth="1"/>
    <col min="11024" max="11024" width="15.7109375" customWidth="1"/>
    <col min="11025" max="11025" width="14.7109375" customWidth="1"/>
    <col min="11026" max="11026" width="19" customWidth="1"/>
    <col min="11027" max="11027" width="27.7109375" customWidth="1"/>
    <col min="11028" max="11028" width="18" customWidth="1"/>
    <col min="11029" max="11029" width="18.42578125" customWidth="1"/>
    <col min="11030" max="11045" width="5.7109375" customWidth="1"/>
    <col min="11046" max="11046" width="12.140625" bestFit="1" customWidth="1"/>
    <col min="11050" max="11050" width="9.5703125" bestFit="1" customWidth="1"/>
    <col min="11270" max="11270" width="12.140625" customWidth="1"/>
    <col min="11271" max="11271" width="28" customWidth="1"/>
    <col min="11272" max="11272" width="9.28515625" customWidth="1"/>
    <col min="11273" max="11274" width="11.7109375" customWidth="1"/>
    <col min="11275" max="11275" width="11.28515625" customWidth="1"/>
    <col min="11276" max="11276" width="11.140625" customWidth="1"/>
    <col min="11277" max="11277" width="12" customWidth="1"/>
    <col min="11278" max="11278" width="18.28515625" customWidth="1"/>
    <col min="11279" max="11279" width="15.5703125" customWidth="1"/>
    <col min="11280" max="11280" width="15.7109375" customWidth="1"/>
    <col min="11281" max="11281" width="14.7109375" customWidth="1"/>
    <col min="11282" max="11282" width="19" customWidth="1"/>
    <col min="11283" max="11283" width="27.7109375" customWidth="1"/>
    <col min="11284" max="11284" width="18" customWidth="1"/>
    <col min="11285" max="11285" width="18.42578125" customWidth="1"/>
    <col min="11286" max="11301" width="5.7109375" customWidth="1"/>
    <col min="11302" max="11302" width="12.140625" bestFit="1" customWidth="1"/>
    <col min="11306" max="11306" width="9.5703125" bestFit="1" customWidth="1"/>
    <col min="11526" max="11526" width="12.140625" customWidth="1"/>
    <col min="11527" max="11527" width="28" customWidth="1"/>
    <col min="11528" max="11528" width="9.28515625" customWidth="1"/>
    <col min="11529" max="11530" width="11.7109375" customWidth="1"/>
    <col min="11531" max="11531" width="11.28515625" customWidth="1"/>
    <col min="11532" max="11532" width="11.140625" customWidth="1"/>
    <col min="11533" max="11533" width="12" customWidth="1"/>
    <col min="11534" max="11534" width="18.28515625" customWidth="1"/>
    <col min="11535" max="11535" width="15.5703125" customWidth="1"/>
    <col min="11536" max="11536" width="15.7109375" customWidth="1"/>
    <col min="11537" max="11537" width="14.7109375" customWidth="1"/>
    <col min="11538" max="11538" width="19" customWidth="1"/>
    <col min="11539" max="11539" width="27.7109375" customWidth="1"/>
    <col min="11540" max="11540" width="18" customWidth="1"/>
    <col min="11541" max="11541" width="18.42578125" customWidth="1"/>
    <col min="11542" max="11557" width="5.7109375" customWidth="1"/>
    <col min="11558" max="11558" width="12.140625" bestFit="1" customWidth="1"/>
    <col min="11562" max="11562" width="9.5703125" bestFit="1" customWidth="1"/>
    <col min="11782" max="11782" width="12.140625" customWidth="1"/>
    <col min="11783" max="11783" width="28" customWidth="1"/>
    <col min="11784" max="11784" width="9.28515625" customWidth="1"/>
    <col min="11785" max="11786" width="11.7109375" customWidth="1"/>
    <col min="11787" max="11787" width="11.28515625" customWidth="1"/>
    <col min="11788" max="11788" width="11.140625" customWidth="1"/>
    <col min="11789" max="11789" width="12" customWidth="1"/>
    <col min="11790" max="11790" width="18.28515625" customWidth="1"/>
    <col min="11791" max="11791" width="15.5703125" customWidth="1"/>
    <col min="11792" max="11792" width="15.7109375" customWidth="1"/>
    <col min="11793" max="11793" width="14.7109375" customWidth="1"/>
    <col min="11794" max="11794" width="19" customWidth="1"/>
    <col min="11795" max="11795" width="27.7109375" customWidth="1"/>
    <col min="11796" max="11796" width="18" customWidth="1"/>
    <col min="11797" max="11797" width="18.42578125" customWidth="1"/>
    <col min="11798" max="11813" width="5.7109375" customWidth="1"/>
    <col min="11814" max="11814" width="12.140625" bestFit="1" customWidth="1"/>
    <col min="11818" max="11818" width="9.5703125" bestFit="1" customWidth="1"/>
    <col min="12038" max="12038" width="12.140625" customWidth="1"/>
    <col min="12039" max="12039" width="28" customWidth="1"/>
    <col min="12040" max="12040" width="9.28515625" customWidth="1"/>
    <col min="12041" max="12042" width="11.7109375" customWidth="1"/>
    <col min="12043" max="12043" width="11.28515625" customWidth="1"/>
    <col min="12044" max="12044" width="11.140625" customWidth="1"/>
    <col min="12045" max="12045" width="12" customWidth="1"/>
    <col min="12046" max="12046" width="18.28515625" customWidth="1"/>
    <col min="12047" max="12047" width="15.5703125" customWidth="1"/>
    <col min="12048" max="12048" width="15.7109375" customWidth="1"/>
    <col min="12049" max="12049" width="14.7109375" customWidth="1"/>
    <col min="12050" max="12050" width="19" customWidth="1"/>
    <col min="12051" max="12051" width="27.7109375" customWidth="1"/>
    <col min="12052" max="12052" width="18" customWidth="1"/>
    <col min="12053" max="12053" width="18.42578125" customWidth="1"/>
    <col min="12054" max="12069" width="5.7109375" customWidth="1"/>
    <col min="12070" max="12070" width="12.140625" bestFit="1" customWidth="1"/>
    <col min="12074" max="12074" width="9.5703125" bestFit="1" customWidth="1"/>
    <col min="12294" max="12294" width="12.140625" customWidth="1"/>
    <col min="12295" max="12295" width="28" customWidth="1"/>
    <col min="12296" max="12296" width="9.28515625" customWidth="1"/>
    <col min="12297" max="12298" width="11.7109375" customWidth="1"/>
    <col min="12299" max="12299" width="11.28515625" customWidth="1"/>
    <col min="12300" max="12300" width="11.140625" customWidth="1"/>
    <col min="12301" max="12301" width="12" customWidth="1"/>
    <col min="12302" max="12302" width="18.28515625" customWidth="1"/>
    <col min="12303" max="12303" width="15.5703125" customWidth="1"/>
    <col min="12304" max="12304" width="15.7109375" customWidth="1"/>
    <col min="12305" max="12305" width="14.7109375" customWidth="1"/>
    <col min="12306" max="12306" width="19" customWidth="1"/>
    <col min="12307" max="12307" width="27.7109375" customWidth="1"/>
    <col min="12308" max="12308" width="18" customWidth="1"/>
    <col min="12309" max="12309" width="18.42578125" customWidth="1"/>
    <col min="12310" max="12325" width="5.7109375" customWidth="1"/>
    <col min="12326" max="12326" width="12.140625" bestFit="1" customWidth="1"/>
    <col min="12330" max="12330" width="9.5703125" bestFit="1" customWidth="1"/>
    <col min="12550" max="12550" width="12.140625" customWidth="1"/>
    <col min="12551" max="12551" width="28" customWidth="1"/>
    <col min="12552" max="12552" width="9.28515625" customWidth="1"/>
    <col min="12553" max="12554" width="11.7109375" customWidth="1"/>
    <col min="12555" max="12555" width="11.28515625" customWidth="1"/>
    <col min="12556" max="12556" width="11.140625" customWidth="1"/>
    <col min="12557" max="12557" width="12" customWidth="1"/>
    <col min="12558" max="12558" width="18.28515625" customWidth="1"/>
    <col min="12559" max="12559" width="15.5703125" customWidth="1"/>
    <col min="12560" max="12560" width="15.7109375" customWidth="1"/>
    <col min="12561" max="12561" width="14.7109375" customWidth="1"/>
    <col min="12562" max="12562" width="19" customWidth="1"/>
    <col min="12563" max="12563" width="27.7109375" customWidth="1"/>
    <col min="12564" max="12564" width="18" customWidth="1"/>
    <col min="12565" max="12565" width="18.42578125" customWidth="1"/>
    <col min="12566" max="12581" width="5.7109375" customWidth="1"/>
    <col min="12582" max="12582" width="12.140625" bestFit="1" customWidth="1"/>
    <col min="12586" max="12586" width="9.5703125" bestFit="1" customWidth="1"/>
    <col min="12806" max="12806" width="12.140625" customWidth="1"/>
    <col min="12807" max="12807" width="28" customWidth="1"/>
    <col min="12808" max="12808" width="9.28515625" customWidth="1"/>
    <col min="12809" max="12810" width="11.7109375" customWidth="1"/>
    <col min="12811" max="12811" width="11.28515625" customWidth="1"/>
    <col min="12812" max="12812" width="11.140625" customWidth="1"/>
    <col min="12813" max="12813" width="12" customWidth="1"/>
    <col min="12814" max="12814" width="18.28515625" customWidth="1"/>
    <col min="12815" max="12815" width="15.5703125" customWidth="1"/>
    <col min="12816" max="12816" width="15.7109375" customWidth="1"/>
    <col min="12817" max="12817" width="14.7109375" customWidth="1"/>
    <col min="12818" max="12818" width="19" customWidth="1"/>
    <col min="12819" max="12819" width="27.7109375" customWidth="1"/>
    <col min="12820" max="12820" width="18" customWidth="1"/>
    <col min="12821" max="12821" width="18.42578125" customWidth="1"/>
    <col min="12822" max="12837" width="5.7109375" customWidth="1"/>
    <col min="12838" max="12838" width="12.140625" bestFit="1" customWidth="1"/>
    <col min="12842" max="12842" width="9.5703125" bestFit="1" customWidth="1"/>
    <col min="13062" max="13062" width="12.140625" customWidth="1"/>
    <col min="13063" max="13063" width="28" customWidth="1"/>
    <col min="13064" max="13064" width="9.28515625" customWidth="1"/>
    <col min="13065" max="13066" width="11.7109375" customWidth="1"/>
    <col min="13067" max="13067" width="11.28515625" customWidth="1"/>
    <col min="13068" max="13068" width="11.140625" customWidth="1"/>
    <col min="13069" max="13069" width="12" customWidth="1"/>
    <col min="13070" max="13070" width="18.28515625" customWidth="1"/>
    <col min="13071" max="13071" width="15.5703125" customWidth="1"/>
    <col min="13072" max="13072" width="15.7109375" customWidth="1"/>
    <col min="13073" max="13073" width="14.7109375" customWidth="1"/>
    <col min="13074" max="13074" width="19" customWidth="1"/>
    <col min="13075" max="13075" width="27.7109375" customWidth="1"/>
    <col min="13076" max="13076" width="18" customWidth="1"/>
    <col min="13077" max="13077" width="18.42578125" customWidth="1"/>
    <col min="13078" max="13093" width="5.7109375" customWidth="1"/>
    <col min="13094" max="13094" width="12.140625" bestFit="1" customWidth="1"/>
    <col min="13098" max="13098" width="9.5703125" bestFit="1" customWidth="1"/>
    <col min="13318" max="13318" width="12.140625" customWidth="1"/>
    <col min="13319" max="13319" width="28" customWidth="1"/>
    <col min="13320" max="13320" width="9.28515625" customWidth="1"/>
    <col min="13321" max="13322" width="11.7109375" customWidth="1"/>
    <col min="13323" max="13323" width="11.28515625" customWidth="1"/>
    <col min="13324" max="13324" width="11.140625" customWidth="1"/>
    <col min="13325" max="13325" width="12" customWidth="1"/>
    <col min="13326" max="13326" width="18.28515625" customWidth="1"/>
    <col min="13327" max="13327" width="15.5703125" customWidth="1"/>
    <col min="13328" max="13328" width="15.7109375" customWidth="1"/>
    <col min="13329" max="13329" width="14.7109375" customWidth="1"/>
    <col min="13330" max="13330" width="19" customWidth="1"/>
    <col min="13331" max="13331" width="27.7109375" customWidth="1"/>
    <col min="13332" max="13332" width="18" customWidth="1"/>
    <col min="13333" max="13333" width="18.42578125" customWidth="1"/>
    <col min="13334" max="13349" width="5.7109375" customWidth="1"/>
    <col min="13350" max="13350" width="12.140625" bestFit="1" customWidth="1"/>
    <col min="13354" max="13354" width="9.5703125" bestFit="1" customWidth="1"/>
    <col min="13574" max="13574" width="12.140625" customWidth="1"/>
    <col min="13575" max="13575" width="28" customWidth="1"/>
    <col min="13576" max="13576" width="9.28515625" customWidth="1"/>
    <col min="13577" max="13578" width="11.7109375" customWidth="1"/>
    <col min="13579" max="13579" width="11.28515625" customWidth="1"/>
    <col min="13580" max="13580" width="11.140625" customWidth="1"/>
    <col min="13581" max="13581" width="12" customWidth="1"/>
    <col min="13582" max="13582" width="18.28515625" customWidth="1"/>
    <col min="13583" max="13583" width="15.5703125" customWidth="1"/>
    <col min="13584" max="13584" width="15.7109375" customWidth="1"/>
    <col min="13585" max="13585" width="14.7109375" customWidth="1"/>
    <col min="13586" max="13586" width="19" customWidth="1"/>
    <col min="13587" max="13587" width="27.7109375" customWidth="1"/>
    <col min="13588" max="13588" width="18" customWidth="1"/>
    <col min="13589" max="13589" width="18.42578125" customWidth="1"/>
    <col min="13590" max="13605" width="5.7109375" customWidth="1"/>
    <col min="13606" max="13606" width="12.140625" bestFit="1" customWidth="1"/>
    <col min="13610" max="13610" width="9.5703125" bestFit="1" customWidth="1"/>
    <col min="13830" max="13830" width="12.140625" customWidth="1"/>
    <col min="13831" max="13831" width="28" customWidth="1"/>
    <col min="13832" max="13832" width="9.28515625" customWidth="1"/>
    <col min="13833" max="13834" width="11.7109375" customWidth="1"/>
    <col min="13835" max="13835" width="11.28515625" customWidth="1"/>
    <col min="13836" max="13836" width="11.140625" customWidth="1"/>
    <col min="13837" max="13837" width="12" customWidth="1"/>
    <col min="13838" max="13838" width="18.28515625" customWidth="1"/>
    <col min="13839" max="13839" width="15.5703125" customWidth="1"/>
    <col min="13840" max="13840" width="15.7109375" customWidth="1"/>
    <col min="13841" max="13841" width="14.7109375" customWidth="1"/>
    <col min="13842" max="13842" width="19" customWidth="1"/>
    <col min="13843" max="13843" width="27.7109375" customWidth="1"/>
    <col min="13844" max="13844" width="18" customWidth="1"/>
    <col min="13845" max="13845" width="18.42578125" customWidth="1"/>
    <col min="13846" max="13861" width="5.7109375" customWidth="1"/>
    <col min="13862" max="13862" width="12.140625" bestFit="1" customWidth="1"/>
    <col min="13866" max="13866" width="9.5703125" bestFit="1" customWidth="1"/>
    <col min="14086" max="14086" width="12.140625" customWidth="1"/>
    <col min="14087" max="14087" width="28" customWidth="1"/>
    <col min="14088" max="14088" width="9.28515625" customWidth="1"/>
    <col min="14089" max="14090" width="11.7109375" customWidth="1"/>
    <col min="14091" max="14091" width="11.28515625" customWidth="1"/>
    <col min="14092" max="14092" width="11.140625" customWidth="1"/>
    <col min="14093" max="14093" width="12" customWidth="1"/>
    <col min="14094" max="14094" width="18.28515625" customWidth="1"/>
    <col min="14095" max="14095" width="15.5703125" customWidth="1"/>
    <col min="14096" max="14096" width="15.7109375" customWidth="1"/>
    <col min="14097" max="14097" width="14.7109375" customWidth="1"/>
    <col min="14098" max="14098" width="19" customWidth="1"/>
    <col min="14099" max="14099" width="27.7109375" customWidth="1"/>
    <col min="14100" max="14100" width="18" customWidth="1"/>
    <col min="14101" max="14101" width="18.42578125" customWidth="1"/>
    <col min="14102" max="14117" width="5.7109375" customWidth="1"/>
    <col min="14118" max="14118" width="12.140625" bestFit="1" customWidth="1"/>
    <col min="14122" max="14122" width="9.5703125" bestFit="1" customWidth="1"/>
    <col min="14342" max="14342" width="12.140625" customWidth="1"/>
    <col min="14343" max="14343" width="28" customWidth="1"/>
    <col min="14344" max="14344" width="9.28515625" customWidth="1"/>
    <col min="14345" max="14346" width="11.7109375" customWidth="1"/>
    <col min="14347" max="14347" width="11.28515625" customWidth="1"/>
    <col min="14348" max="14348" width="11.140625" customWidth="1"/>
    <col min="14349" max="14349" width="12" customWidth="1"/>
    <col min="14350" max="14350" width="18.28515625" customWidth="1"/>
    <col min="14351" max="14351" width="15.5703125" customWidth="1"/>
    <col min="14352" max="14352" width="15.7109375" customWidth="1"/>
    <col min="14353" max="14353" width="14.7109375" customWidth="1"/>
    <col min="14354" max="14354" width="19" customWidth="1"/>
    <col min="14355" max="14355" width="27.7109375" customWidth="1"/>
    <col min="14356" max="14356" width="18" customWidth="1"/>
    <col min="14357" max="14357" width="18.42578125" customWidth="1"/>
    <col min="14358" max="14373" width="5.7109375" customWidth="1"/>
    <col min="14374" max="14374" width="12.140625" bestFit="1" customWidth="1"/>
    <col min="14378" max="14378" width="9.5703125" bestFit="1" customWidth="1"/>
    <col min="14598" max="14598" width="12.140625" customWidth="1"/>
    <col min="14599" max="14599" width="28" customWidth="1"/>
    <col min="14600" max="14600" width="9.28515625" customWidth="1"/>
    <col min="14601" max="14602" width="11.7109375" customWidth="1"/>
    <col min="14603" max="14603" width="11.28515625" customWidth="1"/>
    <col min="14604" max="14604" width="11.140625" customWidth="1"/>
    <col min="14605" max="14605" width="12" customWidth="1"/>
    <col min="14606" max="14606" width="18.28515625" customWidth="1"/>
    <col min="14607" max="14607" width="15.5703125" customWidth="1"/>
    <col min="14608" max="14608" width="15.7109375" customWidth="1"/>
    <col min="14609" max="14609" width="14.7109375" customWidth="1"/>
    <col min="14610" max="14610" width="19" customWidth="1"/>
    <col min="14611" max="14611" width="27.7109375" customWidth="1"/>
    <col min="14612" max="14612" width="18" customWidth="1"/>
    <col min="14613" max="14613" width="18.42578125" customWidth="1"/>
    <col min="14614" max="14629" width="5.7109375" customWidth="1"/>
    <col min="14630" max="14630" width="12.140625" bestFit="1" customWidth="1"/>
    <col min="14634" max="14634" width="9.5703125" bestFit="1" customWidth="1"/>
    <col min="14854" max="14854" width="12.140625" customWidth="1"/>
    <col min="14855" max="14855" width="28" customWidth="1"/>
    <col min="14856" max="14856" width="9.28515625" customWidth="1"/>
    <col min="14857" max="14858" width="11.7109375" customWidth="1"/>
    <col min="14859" max="14859" width="11.28515625" customWidth="1"/>
    <col min="14860" max="14860" width="11.140625" customWidth="1"/>
    <col min="14861" max="14861" width="12" customWidth="1"/>
    <col min="14862" max="14862" width="18.28515625" customWidth="1"/>
    <col min="14863" max="14863" width="15.5703125" customWidth="1"/>
    <col min="14864" max="14864" width="15.7109375" customWidth="1"/>
    <col min="14865" max="14865" width="14.7109375" customWidth="1"/>
    <col min="14866" max="14866" width="19" customWidth="1"/>
    <col min="14867" max="14867" width="27.7109375" customWidth="1"/>
    <col min="14868" max="14868" width="18" customWidth="1"/>
    <col min="14869" max="14869" width="18.42578125" customWidth="1"/>
    <col min="14870" max="14885" width="5.7109375" customWidth="1"/>
    <col min="14886" max="14886" width="12.140625" bestFit="1" customWidth="1"/>
    <col min="14890" max="14890" width="9.5703125" bestFit="1" customWidth="1"/>
    <col min="15110" max="15110" width="12.140625" customWidth="1"/>
    <col min="15111" max="15111" width="28" customWidth="1"/>
    <col min="15112" max="15112" width="9.28515625" customWidth="1"/>
    <col min="15113" max="15114" width="11.7109375" customWidth="1"/>
    <col min="15115" max="15115" width="11.28515625" customWidth="1"/>
    <col min="15116" max="15116" width="11.140625" customWidth="1"/>
    <col min="15117" max="15117" width="12" customWidth="1"/>
    <col min="15118" max="15118" width="18.28515625" customWidth="1"/>
    <col min="15119" max="15119" width="15.5703125" customWidth="1"/>
    <col min="15120" max="15120" width="15.7109375" customWidth="1"/>
    <col min="15121" max="15121" width="14.7109375" customWidth="1"/>
    <col min="15122" max="15122" width="19" customWidth="1"/>
    <col min="15123" max="15123" width="27.7109375" customWidth="1"/>
    <col min="15124" max="15124" width="18" customWidth="1"/>
    <col min="15125" max="15125" width="18.42578125" customWidth="1"/>
    <col min="15126" max="15141" width="5.7109375" customWidth="1"/>
    <col min="15142" max="15142" width="12.140625" bestFit="1" customWidth="1"/>
    <col min="15146" max="15146" width="9.5703125" bestFit="1" customWidth="1"/>
    <col min="15366" max="15366" width="12.140625" customWidth="1"/>
    <col min="15367" max="15367" width="28" customWidth="1"/>
    <col min="15368" max="15368" width="9.28515625" customWidth="1"/>
    <col min="15369" max="15370" width="11.7109375" customWidth="1"/>
    <col min="15371" max="15371" width="11.28515625" customWidth="1"/>
    <col min="15372" max="15372" width="11.140625" customWidth="1"/>
    <col min="15373" max="15373" width="12" customWidth="1"/>
    <col min="15374" max="15374" width="18.28515625" customWidth="1"/>
    <col min="15375" max="15375" width="15.5703125" customWidth="1"/>
    <col min="15376" max="15376" width="15.7109375" customWidth="1"/>
    <col min="15377" max="15377" width="14.7109375" customWidth="1"/>
    <col min="15378" max="15378" width="19" customWidth="1"/>
    <col min="15379" max="15379" width="27.7109375" customWidth="1"/>
    <col min="15380" max="15380" width="18" customWidth="1"/>
    <col min="15381" max="15381" width="18.42578125" customWidth="1"/>
    <col min="15382" max="15397" width="5.7109375" customWidth="1"/>
    <col min="15398" max="15398" width="12.140625" bestFit="1" customWidth="1"/>
    <col min="15402" max="15402" width="9.5703125" bestFit="1" customWidth="1"/>
    <col min="15622" max="15622" width="12.140625" customWidth="1"/>
    <col min="15623" max="15623" width="28" customWidth="1"/>
    <col min="15624" max="15624" width="9.28515625" customWidth="1"/>
    <col min="15625" max="15626" width="11.7109375" customWidth="1"/>
    <col min="15627" max="15627" width="11.28515625" customWidth="1"/>
    <col min="15628" max="15628" width="11.140625" customWidth="1"/>
    <col min="15629" max="15629" width="12" customWidth="1"/>
    <col min="15630" max="15630" width="18.28515625" customWidth="1"/>
    <col min="15631" max="15631" width="15.5703125" customWidth="1"/>
    <col min="15632" max="15632" width="15.7109375" customWidth="1"/>
    <col min="15633" max="15633" width="14.7109375" customWidth="1"/>
    <col min="15634" max="15634" width="19" customWidth="1"/>
    <col min="15635" max="15635" width="27.7109375" customWidth="1"/>
    <col min="15636" max="15636" width="18" customWidth="1"/>
    <col min="15637" max="15637" width="18.42578125" customWidth="1"/>
    <col min="15638" max="15653" width="5.7109375" customWidth="1"/>
    <col min="15654" max="15654" width="12.140625" bestFit="1" customWidth="1"/>
    <col min="15658" max="15658" width="9.5703125" bestFit="1" customWidth="1"/>
    <col min="15878" max="15878" width="12.140625" customWidth="1"/>
    <col min="15879" max="15879" width="28" customWidth="1"/>
    <col min="15880" max="15880" width="9.28515625" customWidth="1"/>
    <col min="15881" max="15882" width="11.7109375" customWidth="1"/>
    <col min="15883" max="15883" width="11.28515625" customWidth="1"/>
    <col min="15884" max="15884" width="11.140625" customWidth="1"/>
    <col min="15885" max="15885" width="12" customWidth="1"/>
    <col min="15886" max="15886" width="18.28515625" customWidth="1"/>
    <col min="15887" max="15887" width="15.5703125" customWidth="1"/>
    <col min="15888" max="15888" width="15.7109375" customWidth="1"/>
    <col min="15889" max="15889" width="14.7109375" customWidth="1"/>
    <col min="15890" max="15890" width="19" customWidth="1"/>
    <col min="15891" max="15891" width="27.7109375" customWidth="1"/>
    <col min="15892" max="15892" width="18" customWidth="1"/>
    <col min="15893" max="15893" width="18.42578125" customWidth="1"/>
    <col min="15894" max="15909" width="5.7109375" customWidth="1"/>
    <col min="15910" max="15910" width="12.140625" bestFit="1" customWidth="1"/>
    <col min="15914" max="15914" width="9.5703125" bestFit="1" customWidth="1"/>
    <col min="16134" max="16134" width="12.140625" customWidth="1"/>
    <col min="16135" max="16135" width="28" customWidth="1"/>
    <col min="16136" max="16136" width="9.28515625" customWidth="1"/>
    <col min="16137" max="16138" width="11.7109375" customWidth="1"/>
    <col min="16139" max="16139" width="11.28515625" customWidth="1"/>
    <col min="16140" max="16140" width="11.140625" customWidth="1"/>
    <col min="16141" max="16141" width="12" customWidth="1"/>
    <col min="16142" max="16142" width="18.28515625" customWidth="1"/>
    <col min="16143" max="16143" width="15.5703125" customWidth="1"/>
    <col min="16144" max="16144" width="15.7109375" customWidth="1"/>
    <col min="16145" max="16145" width="14.7109375" customWidth="1"/>
    <col min="16146" max="16146" width="19" customWidth="1"/>
    <col min="16147" max="16147" width="27.7109375" customWidth="1"/>
    <col min="16148" max="16148" width="18" customWidth="1"/>
    <col min="16149" max="16149" width="18.42578125" customWidth="1"/>
    <col min="16150" max="16165" width="5.7109375" customWidth="1"/>
    <col min="16166" max="16166" width="12.140625" bestFit="1" customWidth="1"/>
    <col min="16170" max="16170" width="9.5703125" bestFit="1" customWidth="1"/>
  </cols>
  <sheetData>
    <row r="1" spans="1:61" s="12" customFormat="1" ht="21" thickBot="1" x14ac:dyDescent="0.35">
      <c r="A1" s="179" t="s">
        <v>0</v>
      </c>
      <c r="B1" s="179"/>
      <c r="C1" s="179"/>
      <c r="D1" s="179"/>
      <c r="E1" s="179"/>
      <c r="F1" s="179"/>
      <c r="G1" s="179"/>
      <c r="H1" s="179"/>
      <c r="I1" s="179"/>
      <c r="J1" s="179"/>
      <c r="K1" s="179"/>
      <c r="L1" s="179"/>
      <c r="M1" s="179"/>
      <c r="N1" s="179"/>
      <c r="O1" s="179"/>
      <c r="P1" s="179"/>
      <c r="Q1" s="179"/>
      <c r="R1" s="179"/>
      <c r="S1" s="11"/>
      <c r="T1" s="11"/>
      <c r="BE1" s="123" t="str">
        <f>B192</f>
        <v>Licz bez uwzględnienia celu</v>
      </c>
      <c r="BF1" s="13"/>
    </row>
    <row r="2" spans="1:61" s="12" customFormat="1" ht="48" customHeight="1" thickTop="1" x14ac:dyDescent="0.3">
      <c r="A2" s="14" t="s">
        <v>1</v>
      </c>
      <c r="B2" s="15"/>
      <c r="C2" s="16" t="s">
        <v>2</v>
      </c>
      <c r="D2" s="9"/>
      <c r="E2" s="15"/>
      <c r="F2" s="15"/>
      <c r="G2" s="15"/>
      <c r="H2" s="17" t="s">
        <v>4</v>
      </c>
      <c r="I2" s="116"/>
      <c r="J2" s="15"/>
      <c r="K2" s="15"/>
      <c r="L2" s="15"/>
      <c r="M2" s="18" t="s">
        <v>5</v>
      </c>
      <c r="N2" s="115"/>
      <c r="O2" s="19" t="s">
        <v>6</v>
      </c>
      <c r="P2" s="124" t="str">
        <f>IF(AND(D2="",I2="",SUM(G6:G14)=0),"",IF(AND(D2="",I2=""),"BRAK DANYCH O GLEBIE",IFERROR(IF($D$2="b.lekka",INDEX($H$96:$J$110,MATCH($I$2,$G$96:$G$110,0),1),IF($D$2="lekka",INDEX($H$111:$J$130,MATCH($I$2,$G$111:$G$130,0),1),IF($D$2="średnia",INDEX($H$131:$J$154,MATCH($I$2,$G$131:$G$154,0),1),IF($D$2="ciężka",INDEX($H$155:$J$181,MATCH($I$2,$G$155:$G$181,0),1),IF(I2&gt;0,"BRAK KATEGORII",0))))),"BŁĄD pH")))</f>
        <v/>
      </c>
      <c r="Q2" s="125" t="str">
        <f>IF(AL2=0,"","część I dawki: "&amp;IFERROR(IF($D$2="b.lekka",INDEX($H$96:$J$110,MATCH($I$2,$G$96:$G$110,0),2),IF($D$2="lekka",INDEX($H$111:$J$130,MATCH($I$2,$G$111:$G$130,0),2),IF($D$2="średnia",INDEX($H$131:$J$154,MATCH($I$2,$G$131:$G$154,0),2),IF($D$2="ciężka",INDEX($H$155:$J$181,MATCH($I$2,$G$155:$G$181,0),2),IF(L2&gt;0,"BRAK KATEGORII",0))))),"BRAK pH")&amp;"t/ha")</f>
        <v/>
      </c>
      <c r="R2" s="126" t="str">
        <f>IF(AL2=0,"","część II dawki: "&amp;IFERROR(IF($D$2="b.lekka",INDEX($H$96:$J$110,MATCH($I$2,$G$96:$G$110,0),3),IF($D$2="lekka",INDEX($H$111:$J$130,MATCH($I$2,$G$111:$G$130,0),3),IF($D$2="średnia",INDEX($H$131:$J$154,MATCH($I$2,$G$131:$G$154,0),3),IF($D$2="ciężka",INDEX($H$155:$J$181,MATCH($I$2,$G$155:$G$181,0),3),IF(M2&gt;0,"BRAK KATEGORII",0))))),"BRAK pH")&amp;"t/ha")</f>
        <v/>
      </c>
      <c r="S2" s="120" t="s">
        <v>263</v>
      </c>
      <c r="T2" s="10"/>
      <c r="AK2" s="127">
        <f>IFERROR(IF($D$2="b.lekka",INDEX($H$96:$J$110,MATCH($I$2,$G$96:$G$110,0),2),IF($D$2="lekka",INDEX($H$111:$J$130,MATCH($I$2,$G$111:$G$130,0),2),IF($D$2="średnia",INDEX($H$131:$J$154,MATCH($I$2,$G$131:$G$154,0),2),IF($D$2="ciężka",INDEX($H$155:$J$181,MATCH($I$2,$G$155:$G$181,0),2),IF(AF2&gt;0,"BRAK KATEGORII",0))))),"BRAK pH")</f>
        <v>0</v>
      </c>
      <c r="AL2" s="127">
        <f>IFERROR(IF($D$2="b.lekka",INDEX($H$96:$J$110,MATCH($I$2,$G$96:$G$110,0),3),IF($D$2="lekka",INDEX($H$111:$J$130,MATCH($I$2,$G$111:$G$130,0),3),IF($D$2="średnia",INDEX($H$131:$J$154,MATCH($I$2,$G$131:$G$154,0),3),IF($D$2="ciężka",INDEX($H$155:$J$181,MATCH($I$2,$G$155:$G$181,0),3),IF(AG2&gt;0,"BRAK KATEGORII",0))))),"BRAK pH")</f>
        <v>0</v>
      </c>
      <c r="AO2" s="128">
        <f>J7*1.39+L7*1.39</f>
        <v>0</v>
      </c>
      <c r="AT2" s="129" t="str">
        <f>IF(AL2=0,"",IFERROR(IF($D$2="b.lekka",INDEX($H$96:$J$110,MATCH($I$2,$G$96:$G$110,0),3),IF($D$2="lekka",INDEX($H$111:$J$130,MATCH($I$2,$G$111:$G$130,0),3),IF($D$2="średnia",INDEX($H$131:$J$154,MATCH($I$2,$G$131:$G$154,0),3),IF($D$2="ciężka",INDEX($H$155:$J$181,MATCH($I$2,$G$155:$G$181,0),3),IF(M2&gt;0,"BRAK KATEGORII",0))))),"BRAK pH"))</f>
        <v/>
      </c>
      <c r="AX2" s="20"/>
      <c r="AY2" s="20"/>
      <c r="AZ2" s="20"/>
      <c r="BE2" s="130" t="str">
        <f>B194</f>
        <v>działanie długotrwale, ale powolne</v>
      </c>
      <c r="BF2" s="130" t="str">
        <f>B193</f>
        <v>działanie szybkie, ale jednosezonowe</v>
      </c>
    </row>
    <row r="3" spans="1:61" ht="16.5" customHeight="1" x14ac:dyDescent="0.25">
      <c r="D3" s="21"/>
      <c r="G3" s="180" t="s">
        <v>7</v>
      </c>
      <c r="H3" s="180"/>
      <c r="I3" s="180"/>
      <c r="J3" s="180"/>
      <c r="K3" s="180"/>
      <c r="L3" s="180"/>
      <c r="M3" s="180"/>
      <c r="N3" s="180"/>
      <c r="O3" s="22"/>
      <c r="P3" s="23"/>
      <c r="Q3" s="181" t="str">
        <f>IFERROR(IF(AT2*1&gt;=2,$A$51,IF(AT2*1&gt;0,$A$50,0)),"")</f>
        <v/>
      </c>
      <c r="R3" s="181"/>
      <c r="S3" s="121"/>
      <c r="AR3" s="183" t="s">
        <v>8</v>
      </c>
      <c r="AS3" s="183"/>
      <c r="AT3" s="183"/>
      <c r="AU3" s="183"/>
      <c r="AV3" s="183"/>
      <c r="AW3" s="183"/>
      <c r="AX3" s="164" t="s">
        <v>197</v>
      </c>
      <c r="AY3" s="165"/>
      <c r="AZ3" s="165"/>
      <c r="BA3" s="165"/>
      <c r="BB3" s="165"/>
      <c r="BC3" s="165"/>
      <c r="BD3" s="166"/>
    </row>
    <row r="4" spans="1:61" ht="16.899999999999999" customHeight="1" thickBot="1" x14ac:dyDescent="0.3">
      <c r="A4" s="25"/>
      <c r="B4" s="25"/>
      <c r="C4" s="25"/>
      <c r="D4" s="21"/>
      <c r="G4" s="184" t="s">
        <v>96</v>
      </c>
      <c r="H4" s="184" t="s">
        <v>97</v>
      </c>
      <c r="I4" s="186" t="s">
        <v>9</v>
      </c>
      <c r="J4" s="187"/>
      <c r="K4" s="186" t="s">
        <v>10</v>
      </c>
      <c r="L4" s="187"/>
      <c r="M4" s="184" t="s">
        <v>98</v>
      </c>
      <c r="N4" s="184" t="s">
        <v>99</v>
      </c>
      <c r="O4" s="171" t="s">
        <v>102</v>
      </c>
      <c r="P4" s="173" t="s">
        <v>103</v>
      </c>
      <c r="Q4" s="182"/>
      <c r="R4" s="182"/>
      <c r="S4" s="122"/>
      <c r="AR4" s="183"/>
      <c r="AS4" s="183"/>
      <c r="AT4" s="183"/>
      <c r="AU4" s="183"/>
      <c r="AV4" s="183"/>
      <c r="AW4" s="183"/>
      <c r="AX4" s="167"/>
      <c r="AY4" s="168"/>
      <c r="AZ4" s="168"/>
      <c r="BA4" s="168"/>
      <c r="BB4" s="168"/>
      <c r="BC4" s="168"/>
      <c r="BD4" s="169"/>
      <c r="BF4" s="130">
        <f>J195</f>
        <v>0</v>
      </c>
    </row>
    <row r="5" spans="1:61" s="12" customFormat="1" ht="43.9" customHeight="1" thickTop="1" x14ac:dyDescent="0.3">
      <c r="A5" s="26" t="s">
        <v>11</v>
      </c>
      <c r="B5" s="27" t="s">
        <v>12</v>
      </c>
      <c r="C5" s="27" t="s">
        <v>191</v>
      </c>
      <c r="D5" s="28" t="s">
        <v>106</v>
      </c>
      <c r="E5" s="27" t="s">
        <v>192</v>
      </c>
      <c r="F5" s="29" t="s">
        <v>256</v>
      </c>
      <c r="G5" s="185"/>
      <c r="H5" s="185"/>
      <c r="I5" s="30" t="s">
        <v>100</v>
      </c>
      <c r="J5" s="30" t="s">
        <v>101</v>
      </c>
      <c r="K5" s="30" t="s">
        <v>100</v>
      </c>
      <c r="L5" s="30" t="s">
        <v>101</v>
      </c>
      <c r="M5" s="185"/>
      <c r="N5" s="185"/>
      <c r="O5" s="172"/>
      <c r="P5" s="174"/>
      <c r="Q5" s="31" t="s">
        <v>14</v>
      </c>
      <c r="R5" s="31" t="s">
        <v>15</v>
      </c>
      <c r="S5" s="119" t="s">
        <v>16</v>
      </c>
      <c r="T5" s="32" t="s">
        <v>16</v>
      </c>
      <c r="AO5" s="12" t="s">
        <v>17</v>
      </c>
      <c r="AP5" s="12" t="s">
        <v>18</v>
      </c>
      <c r="AQ5" s="33" t="s">
        <v>19</v>
      </c>
      <c r="AR5" s="131" t="str">
        <f>A5</f>
        <v>NAZWA WAPNA</v>
      </c>
      <c r="AS5" s="132" t="str">
        <f>IF(AS34=9,"","Zalecenie I")</f>
        <v/>
      </c>
      <c r="AT5" s="36"/>
      <c r="AU5" s="132" t="str">
        <f>IF(AU34=9,"","Zalecenie II")</f>
        <v/>
      </c>
      <c r="AV5" s="36"/>
      <c r="AW5" s="132" t="str">
        <f>IF(AW34=9,"","Zalecenie III")</f>
        <v/>
      </c>
      <c r="AX5" s="37" t="s">
        <v>132</v>
      </c>
      <c r="AY5" s="35" t="s">
        <v>112</v>
      </c>
      <c r="AZ5" s="35" t="s">
        <v>196</v>
      </c>
      <c r="BA5" s="34" t="s">
        <v>254</v>
      </c>
      <c r="BB5" s="38" t="s">
        <v>255</v>
      </c>
      <c r="BC5" s="27" t="s">
        <v>192</v>
      </c>
      <c r="BD5" s="39" t="s">
        <v>245</v>
      </c>
      <c r="BE5" s="34" t="s">
        <v>110</v>
      </c>
      <c r="BF5" s="34" t="s">
        <v>111</v>
      </c>
      <c r="BG5" s="34" t="s">
        <v>254</v>
      </c>
      <c r="BH5" s="38" t="s">
        <v>255</v>
      </c>
      <c r="BI5" s="34" t="s">
        <v>132</v>
      </c>
    </row>
    <row r="6" spans="1:61" ht="19.5" customHeight="1" x14ac:dyDescent="0.3">
      <c r="A6" s="1"/>
      <c r="B6" s="2"/>
      <c r="C6" s="2"/>
      <c r="D6" s="8"/>
      <c r="E6" s="152" t="str">
        <f>IF(D6="","",IFERROR(INDEX($B$67:$C$70,MATCH(D6,$A$67:$A$70,0),2),BC240))</f>
        <v/>
      </c>
      <c r="F6" s="7"/>
      <c r="G6" s="3"/>
      <c r="H6" s="4"/>
      <c r="I6" s="4"/>
      <c r="J6" s="5"/>
      <c r="K6" s="4"/>
      <c r="L6" s="5"/>
      <c r="M6" s="5"/>
      <c r="N6" s="6"/>
      <c r="O6" s="133" t="str">
        <f t="shared" ref="O6:O14" si="0">IF(A6="","",IFERROR((G6+H6)/AQ6,"WPISZ DANE"))</f>
        <v/>
      </c>
      <c r="P6" s="134" t="str">
        <f t="shared" ref="P6:P14" si="1">IF(AND($P$2=0,SUM($G$6:$G$14)&gt;0),"WAPNOWANIE ZBĘDNE",IF(AND($D$2=$G$40,$B6=$B$66),"NIE STOSOWAĆ",IF(AND($D$2=$G$41,$B6=$B$66),"NIE STOSOWAĆ",IF(AT6=0,IF(G6="","",IFERROR(IF(D6&lt;&gt;"Granulowane",$P$2/AQ6,IF(AND(D6="Granulowane",F6=0),"PODAJ DAWKĘ PRODUCENTA",F6/1000)),IF(D6="Granulowane","PODAJ DAWKĘ PRODUCENTA","UZUPEŁNIJ DANE O GLEBIE"))),AT6))))</f>
        <v/>
      </c>
      <c r="Q6" s="135" t="str">
        <f t="shared" ref="Q6:Q14" si="2">IF(OR($S$4="",$S$4=$B$192),IF($S$3=$C$58,IFERROR((AQ6)/((G6+H6)*P6),""),IF($S$3=$C$57,IFERROR((AQ6*M6)/((G6+H6)*P6),""),IF($S$3=$C$56,IFERROR((AQ6*N6)/((G6+H6)*P6),""),IFERROR((AQ6*M6*N6)/((G6+H6)*P6),"")))),BH6)</f>
        <v/>
      </c>
      <c r="R6" s="136" t="str">
        <f t="shared" ref="R6:R14" si="3">IFERROR(INDEX($AM$6:$AN$14,MATCH(S6,$AL$6:$AL$14,0),2),"")</f>
        <v/>
      </c>
      <c r="S6" s="137" t="str">
        <f t="shared" ref="S6:S14" si="4">IF(Q6=0," ",T6)</f>
        <v/>
      </c>
      <c r="T6" s="138" t="str">
        <f t="shared" ref="T6:T14" si="5">IF(Q6=$Q$16,1,IF(Q6=$V$16,2,IF(Q6=$X$16,3,IF(Q6=$Z$16,4,IF(Q6=$AB$16,5,IF(Q6=$AD$16,6,IF(Q6=$AF$16,7,IF(Q6=$AH$16,8,""))))))))</f>
        <v/>
      </c>
      <c r="U6" s="139">
        <f>IF(Q6=Q$16,1,0)</f>
        <v>0</v>
      </c>
      <c r="V6" s="139" t="str">
        <f t="shared" ref="V6:V15" si="6">IF(U6=1,0,Q6)</f>
        <v/>
      </c>
      <c r="W6" s="139">
        <f t="shared" ref="W6:W15" si="7">IF(V6=V$16,1,0)</f>
        <v>0</v>
      </c>
      <c r="X6" s="139" t="str">
        <f t="shared" ref="X6:X15" si="8">IF($U6+$W6=1,0,V6)</f>
        <v/>
      </c>
      <c r="Y6" s="139">
        <f t="shared" ref="Y6:Y15" si="9">IF(X6=X$16,1,0)</f>
        <v>0</v>
      </c>
      <c r="Z6" s="139" t="str">
        <f t="shared" ref="Z6:Z15" si="10">IF($U6+$W6+$Y6=1,0,X6)</f>
        <v/>
      </c>
      <c r="AA6" s="139">
        <f t="shared" ref="AA6:AA15" si="11">IF(Z6=Z$16,1,0)</f>
        <v>0</v>
      </c>
      <c r="AB6" s="139" t="str">
        <f t="shared" ref="AB6:AB15" si="12">IF($U6+$W6+$Y6+$AA6=1,0,Z6)</f>
        <v/>
      </c>
      <c r="AC6" s="139">
        <f t="shared" ref="AC6:AC15" si="13">IF(AB6=AB$16,1,0)</f>
        <v>0</v>
      </c>
      <c r="AD6" s="139" t="str">
        <f t="shared" ref="AD6:AD15" si="14">IF($U6+$W6+$Y6+$AA6+$AC6=1,0,AB6)</f>
        <v/>
      </c>
      <c r="AE6" s="139">
        <f t="shared" ref="AE6:AE15" si="15">IF(AD6=AD$16,1,0)</f>
        <v>0</v>
      </c>
      <c r="AF6" s="139" t="str">
        <f t="shared" ref="AF6:AF15" si="16">IF($U6+$W6+$Y6+$AA6+$AC6+$AE6=1,0,AD6)</f>
        <v/>
      </c>
      <c r="AG6" s="139">
        <f t="shared" ref="AG6:AG15" si="17">IF(AF6=AF$16,1,0)</f>
        <v>0</v>
      </c>
      <c r="AH6" s="139" t="str">
        <f t="shared" ref="AH6:AH15" si="18">IF($U6+$W6+$Y6+$AA6+$AC6+$AE6+$AG6=1,0,AF6)</f>
        <v/>
      </c>
      <c r="AI6" s="139">
        <f t="shared" ref="AI6:AI15" si="19">IF(AH6=AH$16,1,0)</f>
        <v>0</v>
      </c>
      <c r="AJ6" s="139" t="str">
        <f t="shared" ref="AJ6:AJ15" si="20">IF($U6+$W6+$Y6+$AA6+$AC6+$AE6+$AG6+$AI6=1,0,AH6)</f>
        <v/>
      </c>
      <c r="AK6" s="153" t="str">
        <f t="shared" ref="AK6:AK14" si="21">Q6</f>
        <v/>
      </c>
      <c r="AL6">
        <v>1</v>
      </c>
      <c r="AM6" s="141" t="e">
        <f t="shared" ref="AM6:AM14" si="22">INDEX($T$6:$AK$14,MATCH(AL6,$S$6:$S$14,0),18)</f>
        <v>#N/A</v>
      </c>
      <c r="AN6" s="136" t="str">
        <f>IFERROR(AM6/AM7,"")</f>
        <v/>
      </c>
      <c r="AO6" s="139" t="str">
        <f t="shared" ref="AO6:AO14" si="23">IFERROR(INDEX($Q$62:$Q$66,MATCH(I6,$P$62:$P$66,0),1),"")</f>
        <v/>
      </c>
      <c r="AP6" s="139" t="str">
        <f t="shared" ref="AP6:AP14" si="24">IFERROR(INDEX($Q$62:$Q$66,MATCH(K6,$P$62:$P$66,0),1),"")</f>
        <v/>
      </c>
      <c r="AQ6" s="142" t="str">
        <f t="shared" ref="AQ6:AQ14" si="25">IFERROR(IF(I6=P$62,(J6*AO6),IF(K6=P$62,(L6*AP6),IF(L6="",(J6*AO6),IF(J6="",(L6*AP6),(J6*AO6)+(L6*AP6))))),"")</f>
        <v/>
      </c>
      <c r="AR6" s="143" t="str">
        <f t="shared" ref="AR6:AR14" si="26">IF(G6="","",A6)</f>
        <v/>
      </c>
      <c r="AS6" s="144" t="str">
        <f t="shared" ref="AS6:AS14" si="27">IF($P$2=0,"",IF(AND($D$2=$G$40,$B6=$B$66),"NIE STOSOWAĆ  NA GLEBIE BARDZO LEKKIEJ",IF(AND($D$2=$G$41,$B6=$B$66),"NIE STOSOWAĆ  NA GLEBIE LEKKIEJ",IF(G6="","",IF(AT6=$P$2,"",IF(AND($D$2=$G$40,B6="TAK"),$A$40,IF(AND($D$2=$G$41,B6="TAK"),$A$41,IF(AND($D$2=$G$42,B6="TAK"),$A$42,IF(AND($D$2=$G$43,B6="TAK"),$A$43,IF($N$2=$G$44,$A$44,IF($N$2=$G$45,$A$45,"")))))))))))</f>
        <v/>
      </c>
      <c r="AT6" s="145">
        <f t="shared" ref="AT6:AT14" si="28">IF(IF(AND($D$2=$G$40,B6="TAK"),$D$40/AQ6,IF(AND($D$2=$G$41,B6="TAK"),$D$41/AQ6,IF(AND($D$2=$G$42,B6="TAK"),$D$42/AQ6,IF(AND($D$2=$G$43,B6="TAK"),$D$43/AQ6,0))))&gt;$P$2,$P$2,IF(AND($D$2=$G$40,B6="TAK"),$D$40/AQ6,IF(AND($D$2=$G$41,B6="TAK"),$D$41/AQ6,IF(AND($D$2=$G$42,B6="TAK"),$D$42/AQ6,IF(AND($D$2=$G$43,B6="TAK"),$D$43/AQ6,0)))))</f>
        <v>0</v>
      </c>
      <c r="AU6" s="144" t="str">
        <f t="shared" ref="AU6:AU14" si="29">IF(OR(AS6="NIE STOSOWAĆ  NA GLEBIE BARDZO LEKKIEJ",AS6="NIE STOSOWAĆ  NA GLEBIE LEKKIEJ"),"",IF($P$2=0,"",IF(G6="","",IF(IF($N$2=$G$44,$A$44,IF($N$2=$G$45,$A$45,0))=AS6,"",IF($N$2=$G$44,$A$44,IF($N$2=$G$45,$A$45,""))))))</f>
        <v/>
      </c>
      <c r="AV6" s="146" t="e">
        <f t="shared" ref="AV6:AV14" si="30">INDEX($H$46:$H$49,MATCH($D$2,$G$46:$G$49,0),1)</f>
        <v>#N/A</v>
      </c>
      <c r="AW6" s="144" t="str">
        <f t="shared" ref="AW6:AW11" si="31">IF(OR(AS6="NIE STOSOWAĆ  NA GLEBIE BARDZO LEKKIEJ",AS6="NIE STOSOWAĆ  NA GLEBIE LEKKIEJ"),"",IF($P$2=0,"",IF(G6="","",IF(OR($I$2=$G$80,$I$2=$J$92),"rozłóż dawkę na 2 części",IF(OR($I$2&gt;AV6,$I$2=$G$66,$I$2=$H$66,$I$2=$I$66,$I$2=$J$66),$I$46,"")))))</f>
        <v/>
      </c>
      <c r="AX6" s="147" t="str">
        <f t="shared" ref="AX6:AX8" si="32">IF(P6="NIE STOSOWAĆ","",IFERROR(IF(OR(AT6="NIE STOSOWAĆ  NA GLEBIE BARDZO LEKKIEJ",AT6="NIE STOSOWAĆ  NA GLEBIE LEKKIEJ"),"",IF($P$2=0,"",IF(H6="","",IF(OR($I$2=$G$80,$I$2=$J$92),"rozłóż dawkę na 2 części",IF(OR($K$2&gt;AW6,$K$2=$G$66,$K$2=$H$66,$K$2=$I$66,$K$2=$J$66),$I$46,INDEX($C$254:$N$275,MATCH(E6,$B$254:$B$275,0),10)))))),""))</f>
        <v/>
      </c>
      <c r="AY6" s="147" t="str">
        <f t="shared" ref="AY6:AY11" si="33">IF(P6="NIE STOSOWAĆ","",IFERROR(IF(OR(AU6="NIE STOSOWAĆ  NA GLEBIE BARDZO LEKKIEJ",AU6="NIE STOSOWAĆ  NA GLEBIE LEKKIEJ"),"",IF($P$2=0,"",IF(I6="","",IF(OR($I$2=$G$80,$I$2=$J$92),"rozłóż dawkę na 2 części",IF(OR($K$2&gt;AX6,$K$2=$G$66,$K$2=$H$66,$K$2=$I$66,$K$2=$J$66),$I$46,INDEX($C$254:$N$279,MATCH(E6,$B$254:$B$279,0),11)))))),""))</f>
        <v/>
      </c>
      <c r="AZ6" s="147" t="str">
        <f>IFERROR(IF(OR(AV6="NIE STOSOWAĆ  NA GLEBIE BARDZO LEKKIEJ",AV6="NIE STOSOWAĆ  NA GLEBIE LEKKIEJ"),"",IF($P$2=0,"",IF(J6="","",IF(OR($I$2=$G$80,$I$2=$J$92),"rozłóż dawkę na 2 części",IF(OR($K$2&gt;AY6,$K$2=$G$66,$K$2=$H$66,$K$2=$I$66,$K$2=$J$66),$I$46,INDEX($C$254:$N$275,MATCH(E6,$B$254:$B$275,0),12)))))),"")</f>
        <v/>
      </c>
      <c r="BA6" s="148" t="str">
        <f>IFERROR(IF($BE$2=$S$4,1,IF($BF$2=$S$4,AW6,IF($AX$5=$S$4,AX6,AW6*AX6))),"")</f>
        <v/>
      </c>
      <c r="BB6" s="149" t="str">
        <f>IFERROR(($AO6*$K6*$L6*$BA6)/(($E6+$F6)*$N6),"")</f>
        <v/>
      </c>
      <c r="BC6" s="117" t="s">
        <v>185</v>
      </c>
      <c r="BD6" s="147" t="str">
        <f t="shared" ref="BD6:BD14" si="34">IF(IF(AND(K6="MgO",L6&gt;=$K$56),$M$56,IF(AND(K6="MgO",L6&gt;=$K$55,L6&lt;$L$55),$M$55,IF(AND(K6="MgO",L6&gt;=$K$54,L6&lt;$L$54),$M$54,IF(AND(K6="MgO",L6&gt;=$K$53,L6&lt;$L$53),$M$53,IF(AND(K6="MgO",L6&lt;$L$52),$M$52,0)))))=0,"",IF(AND(K6="MgO",L6&gt;=$K$56),$M$56,IF(AND(K6="MgO",L6&gt;=$K$55,L6&lt;$L$55),$M$55,IF(AND(K6="MgO",L6&gt;=$K$54,L6&lt;$L$54),$M$54,IF(AND(K6="MgO",L6&gt;=$K$53,L6&lt;$L$53),$M$53,IF(AND(K6="MgO",L6&lt;$L$52),$M$52,0))))))</f>
        <v/>
      </c>
      <c r="BE6" s="146" t="e">
        <f>IF(AND($K6="MgO",$L6&gt;=0.08),INDEX($C$268:$L$279,MATCH($E6,$B$268:$B$279,0),8),INDEX($C$254:$L$279,MATCH($E6,$B$254:$B$279,0),8))</f>
        <v>#N/A</v>
      </c>
      <c r="BF6" s="146" t="e">
        <f>IF(AND($K6="MgO",$L6&gt;=0.08),INDEX($C$268:$L$279,MATCH($E6,$B$268:$B$279,0),9),INDEX($C$254:$L$279,MATCH($E6,$B$254:$B$279,0),9))</f>
        <v>#N/A</v>
      </c>
      <c r="BG6" s="150">
        <f t="shared" ref="BG6:BG14" si="35">IFERROR(IF(OR($BE$1=$S$4,$S$4=""),1,IF($BE$2=$S$4,BE6,IF($BF$2=$S$4,BF6,BE6*BF6))),"")</f>
        <v>1</v>
      </c>
      <c r="BH6" s="135" t="str">
        <f>IF($S$3=$C$58,IFERROR((AQ6*BG6)/((G6+H6)*P6),""),IF($S$3=$C$57,IFERROR((AQ6*M6*BG6)/((G6+H6)*P6),""),IF($S$3=$C$56,IFERROR((AQ6*N6*BG6)/((G6+H6)*P6),""),IFERROR((AQ6*M6*N6*BG6)/((G6+H6)*P6),""))))</f>
        <v/>
      </c>
      <c r="BI6" s="146" t="e">
        <f>IF(AND($K6="MgO",$L6&gt;=0.08),INDEX($C$268:$L$279,MATCH($E6,$B$268:$B$279,0),10),INDEX($C$254:$L$279,MATCH($E6,$B$254:$B$279,0),10))</f>
        <v>#N/A</v>
      </c>
    </row>
    <row r="7" spans="1:61" ht="19.5" customHeight="1" x14ac:dyDescent="0.3">
      <c r="A7" s="1"/>
      <c r="B7" s="2"/>
      <c r="C7" s="2"/>
      <c r="D7" s="8"/>
      <c r="E7" s="152" t="str">
        <f t="shared" ref="E7:E14" si="36">IF(D7="","",IFERROR(INDEX($B$67:$C$70,MATCH(D7,$A$67:$A$70,0),2),BC241))</f>
        <v/>
      </c>
      <c r="F7" s="7"/>
      <c r="G7" s="3"/>
      <c r="H7" s="4"/>
      <c r="I7" s="4"/>
      <c r="J7" s="5"/>
      <c r="K7" s="4"/>
      <c r="L7" s="5"/>
      <c r="M7" s="5"/>
      <c r="N7" s="6"/>
      <c r="O7" s="133" t="str">
        <f t="shared" si="0"/>
        <v/>
      </c>
      <c r="P7" s="134" t="str">
        <f t="shared" si="1"/>
        <v/>
      </c>
      <c r="Q7" s="135" t="str">
        <f t="shared" si="2"/>
        <v/>
      </c>
      <c r="R7" s="136" t="str">
        <f t="shared" si="3"/>
        <v/>
      </c>
      <c r="S7" s="137" t="str">
        <f t="shared" si="4"/>
        <v/>
      </c>
      <c r="T7" s="138" t="str">
        <f t="shared" si="5"/>
        <v/>
      </c>
      <c r="U7" s="139">
        <f t="shared" ref="U7:U15" si="37">IF(Q7=$Q$16,1,0)</f>
        <v>0</v>
      </c>
      <c r="V7" s="139" t="str">
        <f t="shared" si="6"/>
        <v/>
      </c>
      <c r="W7" s="139">
        <f t="shared" si="7"/>
        <v>0</v>
      </c>
      <c r="X7" s="139" t="str">
        <f t="shared" si="8"/>
        <v/>
      </c>
      <c r="Y7" s="139">
        <f t="shared" si="9"/>
        <v>0</v>
      </c>
      <c r="Z7" s="139" t="str">
        <f t="shared" si="10"/>
        <v/>
      </c>
      <c r="AA7" s="139">
        <f t="shared" si="11"/>
        <v>0</v>
      </c>
      <c r="AB7" s="139" t="str">
        <f t="shared" si="12"/>
        <v/>
      </c>
      <c r="AC7" s="139">
        <f t="shared" si="13"/>
        <v>0</v>
      </c>
      <c r="AD7" s="139" t="str">
        <f t="shared" si="14"/>
        <v/>
      </c>
      <c r="AE7" s="139">
        <f t="shared" si="15"/>
        <v>0</v>
      </c>
      <c r="AF7" s="139" t="str">
        <f t="shared" si="16"/>
        <v/>
      </c>
      <c r="AG7" s="139">
        <f t="shared" si="17"/>
        <v>0</v>
      </c>
      <c r="AH7" s="139" t="str">
        <f t="shared" si="18"/>
        <v/>
      </c>
      <c r="AI7" s="139">
        <f t="shared" si="19"/>
        <v>0</v>
      </c>
      <c r="AJ7" s="139" t="str">
        <f t="shared" si="20"/>
        <v/>
      </c>
      <c r="AK7" s="153" t="str">
        <f t="shared" si="21"/>
        <v/>
      </c>
      <c r="AL7">
        <v>2</v>
      </c>
      <c r="AM7" s="141" t="e">
        <f t="shared" si="22"/>
        <v>#N/A</v>
      </c>
      <c r="AN7" s="136" t="str">
        <f t="shared" ref="AN7:AN14" si="38">IFERROR(AM7/AM8,"")</f>
        <v/>
      </c>
      <c r="AO7" s="139" t="str">
        <f t="shared" si="23"/>
        <v/>
      </c>
      <c r="AP7" s="139" t="str">
        <f t="shared" si="24"/>
        <v/>
      </c>
      <c r="AQ7" s="142" t="str">
        <f t="shared" si="25"/>
        <v/>
      </c>
      <c r="AR7" s="143" t="str">
        <f t="shared" si="26"/>
        <v/>
      </c>
      <c r="AS7" s="144" t="str">
        <f t="shared" si="27"/>
        <v/>
      </c>
      <c r="AT7" s="145">
        <f t="shared" si="28"/>
        <v>0</v>
      </c>
      <c r="AU7" s="144" t="str">
        <f t="shared" si="29"/>
        <v/>
      </c>
      <c r="AV7" s="146" t="e">
        <f t="shared" si="30"/>
        <v>#N/A</v>
      </c>
      <c r="AW7" s="144" t="str">
        <f t="shared" si="31"/>
        <v/>
      </c>
      <c r="AX7" s="147" t="str">
        <f t="shared" si="32"/>
        <v/>
      </c>
      <c r="AY7" s="147" t="str">
        <f t="shared" si="33"/>
        <v/>
      </c>
      <c r="AZ7" s="147" t="str">
        <f t="shared" ref="AZ7:AZ11" si="39">IFERROR(IF(OR(AV7="NIE STOSOWAĆ  NA GLEBIE BARDZO LEKKIEJ",AV7="NIE STOSOWAĆ  NA GLEBIE LEKKIEJ"),"",IF($P$2=0,"",IF(J7="","",IF(OR($I$2=$G$80,$I$2=$J$92),"rozłóż dawkę na 2 części",IF(OR($K$2&gt;AY7,$K$2=$G$66,$K$2=$H$66,$K$2=$I$66,$K$2=$J$66),$I$46,INDEX($C$254:$N$275,MATCH(E7,$B$254:$B$275,0),12)))))),"")</f>
        <v/>
      </c>
      <c r="BA7" s="118"/>
      <c r="BB7" s="118"/>
      <c r="BC7" s="117" t="s">
        <v>184</v>
      </c>
      <c r="BD7" s="147" t="str">
        <f t="shared" si="34"/>
        <v/>
      </c>
      <c r="BE7" s="146" t="e">
        <f t="shared" ref="BE7:BE14" si="40">IF(AND($K7="MgO",$L7&gt;=0.08),INDEX($C$268:$L$279,MATCH($E7,$B$268:$B$279,0),8),INDEX($C$254:$L$279,MATCH($E7,$B$254:$B$279,0),8))</f>
        <v>#N/A</v>
      </c>
      <c r="BF7" s="146" t="e">
        <f t="shared" ref="BF7:BF14" si="41">IF(AND($K7="MgO",$L7&gt;=0.08),INDEX($C$268:$L$279,MATCH($E7,$B$268:$B$279,0),9),INDEX($C$254:$L$279,MATCH($E7,$B$254:$B$279,0),9))</f>
        <v>#N/A</v>
      </c>
      <c r="BG7" s="150">
        <f t="shared" si="35"/>
        <v>1</v>
      </c>
      <c r="BH7" s="135" t="str">
        <f t="shared" ref="BH7:BH14" si="42">IFERROR((AQ7*M7*N7*BG7)/((G7+H7)*P7),"")</f>
        <v/>
      </c>
      <c r="BI7" s="146" t="e">
        <f t="shared" ref="BI7:BI14" si="43">IF(AND($K7="MgO",$L7&gt;=0.08),INDEX($C$268:$L$279,MATCH($E7,$B$268:$B$279,0),10),INDEX($C$254:$L$279,MATCH($E7,$B$254:$B$279,0),10))</f>
        <v>#N/A</v>
      </c>
    </row>
    <row r="8" spans="1:61" ht="19.5" customHeight="1" x14ac:dyDescent="0.3">
      <c r="A8" s="1"/>
      <c r="B8" s="2"/>
      <c r="C8" s="2"/>
      <c r="D8" s="8"/>
      <c r="E8" s="152" t="str">
        <f t="shared" si="36"/>
        <v/>
      </c>
      <c r="F8" s="7"/>
      <c r="G8" s="3"/>
      <c r="H8" s="4"/>
      <c r="I8" s="4"/>
      <c r="J8" s="5"/>
      <c r="K8" s="4"/>
      <c r="L8" s="5"/>
      <c r="M8" s="5"/>
      <c r="N8" s="6"/>
      <c r="O8" s="133" t="str">
        <f t="shared" si="0"/>
        <v/>
      </c>
      <c r="P8" s="134" t="str">
        <f t="shared" si="1"/>
        <v/>
      </c>
      <c r="Q8" s="135" t="str">
        <f t="shared" si="2"/>
        <v/>
      </c>
      <c r="R8" s="136" t="str">
        <f t="shared" si="3"/>
        <v/>
      </c>
      <c r="S8" s="137" t="str">
        <f t="shared" si="4"/>
        <v/>
      </c>
      <c r="T8" s="138" t="str">
        <f t="shared" si="5"/>
        <v/>
      </c>
      <c r="U8" s="139">
        <f t="shared" si="37"/>
        <v>0</v>
      </c>
      <c r="V8" s="139" t="str">
        <f t="shared" si="6"/>
        <v/>
      </c>
      <c r="W8" s="139">
        <f t="shared" si="7"/>
        <v>0</v>
      </c>
      <c r="X8" s="139" t="str">
        <f t="shared" si="8"/>
        <v/>
      </c>
      <c r="Y8" s="139">
        <f t="shared" si="9"/>
        <v>0</v>
      </c>
      <c r="Z8" s="139" t="str">
        <f t="shared" si="10"/>
        <v/>
      </c>
      <c r="AA8" s="139">
        <f t="shared" si="11"/>
        <v>0</v>
      </c>
      <c r="AB8" s="139" t="str">
        <f t="shared" si="12"/>
        <v/>
      </c>
      <c r="AC8" s="139">
        <f t="shared" si="13"/>
        <v>0</v>
      </c>
      <c r="AD8" s="139" t="str">
        <f t="shared" si="14"/>
        <v/>
      </c>
      <c r="AE8" s="139">
        <f t="shared" si="15"/>
        <v>0</v>
      </c>
      <c r="AF8" s="139" t="str">
        <f t="shared" si="16"/>
        <v/>
      </c>
      <c r="AG8" s="139">
        <f t="shared" si="17"/>
        <v>0</v>
      </c>
      <c r="AH8" s="139" t="str">
        <f t="shared" si="18"/>
        <v/>
      </c>
      <c r="AI8" s="139">
        <f t="shared" si="19"/>
        <v>0</v>
      </c>
      <c r="AJ8" s="139" t="str">
        <f t="shared" si="20"/>
        <v/>
      </c>
      <c r="AK8" s="153" t="str">
        <f t="shared" si="21"/>
        <v/>
      </c>
      <c r="AL8">
        <v>3</v>
      </c>
      <c r="AM8" s="141" t="e">
        <f t="shared" si="22"/>
        <v>#N/A</v>
      </c>
      <c r="AN8" s="136" t="str">
        <f t="shared" si="38"/>
        <v/>
      </c>
      <c r="AO8" s="139" t="str">
        <f t="shared" si="23"/>
        <v/>
      </c>
      <c r="AP8" s="139" t="str">
        <f t="shared" si="24"/>
        <v/>
      </c>
      <c r="AQ8" s="142" t="str">
        <f t="shared" si="25"/>
        <v/>
      </c>
      <c r="AR8" s="143" t="str">
        <f t="shared" si="26"/>
        <v/>
      </c>
      <c r="AS8" s="144" t="str">
        <f t="shared" si="27"/>
        <v/>
      </c>
      <c r="AT8" s="145">
        <f t="shared" si="28"/>
        <v>0</v>
      </c>
      <c r="AU8" s="144" t="str">
        <f t="shared" si="29"/>
        <v/>
      </c>
      <c r="AV8" s="146" t="e">
        <f t="shared" si="30"/>
        <v>#N/A</v>
      </c>
      <c r="AW8" s="144" t="str">
        <f t="shared" si="31"/>
        <v/>
      </c>
      <c r="AX8" s="147" t="str">
        <f t="shared" si="32"/>
        <v/>
      </c>
      <c r="AY8" s="147" t="str">
        <f t="shared" si="33"/>
        <v/>
      </c>
      <c r="AZ8" s="147" t="str">
        <f t="shared" si="39"/>
        <v/>
      </c>
      <c r="BA8" s="118"/>
      <c r="BB8" s="118"/>
      <c r="BC8" s="117" t="s">
        <v>185</v>
      </c>
      <c r="BD8" s="147" t="str">
        <f t="shared" si="34"/>
        <v/>
      </c>
      <c r="BE8" s="146" t="e">
        <f t="shared" si="40"/>
        <v>#N/A</v>
      </c>
      <c r="BF8" s="146" t="e">
        <f t="shared" si="41"/>
        <v>#N/A</v>
      </c>
      <c r="BG8" s="150">
        <f t="shared" si="35"/>
        <v>1</v>
      </c>
      <c r="BH8" s="135" t="str">
        <f t="shared" si="42"/>
        <v/>
      </c>
      <c r="BI8" s="146" t="e">
        <f t="shared" si="43"/>
        <v>#N/A</v>
      </c>
    </row>
    <row r="9" spans="1:61" ht="19.5" customHeight="1" x14ac:dyDescent="0.3">
      <c r="A9" s="1"/>
      <c r="B9" s="2"/>
      <c r="C9" s="2"/>
      <c r="D9" s="8"/>
      <c r="E9" s="152" t="str">
        <f t="shared" si="36"/>
        <v/>
      </c>
      <c r="F9" s="7"/>
      <c r="G9" s="3"/>
      <c r="H9" s="4"/>
      <c r="I9" s="4"/>
      <c r="J9" s="5"/>
      <c r="K9" s="4"/>
      <c r="L9" s="5"/>
      <c r="M9" s="5"/>
      <c r="N9" s="6"/>
      <c r="O9" s="133" t="str">
        <f t="shared" si="0"/>
        <v/>
      </c>
      <c r="P9" s="134" t="str">
        <f t="shared" si="1"/>
        <v/>
      </c>
      <c r="Q9" s="135" t="str">
        <f t="shared" si="2"/>
        <v/>
      </c>
      <c r="R9" s="136" t="str">
        <f t="shared" si="3"/>
        <v/>
      </c>
      <c r="S9" s="137" t="str">
        <f t="shared" si="4"/>
        <v/>
      </c>
      <c r="T9" s="138" t="str">
        <f t="shared" si="5"/>
        <v/>
      </c>
      <c r="U9" s="139">
        <f t="shared" si="37"/>
        <v>0</v>
      </c>
      <c r="V9" s="139" t="str">
        <f t="shared" si="6"/>
        <v/>
      </c>
      <c r="W9" s="139">
        <f t="shared" si="7"/>
        <v>0</v>
      </c>
      <c r="X9" s="139" t="str">
        <f t="shared" si="8"/>
        <v/>
      </c>
      <c r="Y9" s="139">
        <f t="shared" si="9"/>
        <v>0</v>
      </c>
      <c r="Z9" s="139" t="str">
        <f t="shared" si="10"/>
        <v/>
      </c>
      <c r="AA9" s="139">
        <f t="shared" si="11"/>
        <v>0</v>
      </c>
      <c r="AB9" s="139" t="str">
        <f t="shared" si="12"/>
        <v/>
      </c>
      <c r="AC9" s="139">
        <f t="shared" si="13"/>
        <v>0</v>
      </c>
      <c r="AD9" s="139" t="str">
        <f t="shared" si="14"/>
        <v/>
      </c>
      <c r="AE9" s="139">
        <f t="shared" si="15"/>
        <v>0</v>
      </c>
      <c r="AF9" s="139" t="str">
        <f t="shared" si="16"/>
        <v/>
      </c>
      <c r="AG9" s="139">
        <f t="shared" si="17"/>
        <v>0</v>
      </c>
      <c r="AH9" s="139" t="str">
        <f t="shared" si="18"/>
        <v/>
      </c>
      <c r="AI9" s="139">
        <f t="shared" si="19"/>
        <v>0</v>
      </c>
      <c r="AJ9" s="139" t="str">
        <f t="shared" si="20"/>
        <v/>
      </c>
      <c r="AK9" s="153" t="str">
        <f t="shared" si="21"/>
        <v/>
      </c>
      <c r="AL9">
        <v>4</v>
      </c>
      <c r="AM9" s="141" t="e">
        <f t="shared" si="22"/>
        <v>#N/A</v>
      </c>
      <c r="AN9" s="136" t="str">
        <f t="shared" si="38"/>
        <v/>
      </c>
      <c r="AO9" s="139" t="str">
        <f t="shared" si="23"/>
        <v/>
      </c>
      <c r="AP9" s="139" t="str">
        <f t="shared" si="24"/>
        <v/>
      </c>
      <c r="AQ9" s="142" t="str">
        <f t="shared" si="25"/>
        <v/>
      </c>
      <c r="AR9" s="143" t="str">
        <f t="shared" si="26"/>
        <v/>
      </c>
      <c r="AS9" s="144" t="str">
        <f t="shared" si="27"/>
        <v/>
      </c>
      <c r="AT9" s="145">
        <f t="shared" si="28"/>
        <v>0</v>
      </c>
      <c r="AU9" s="144" t="str">
        <f t="shared" si="29"/>
        <v/>
      </c>
      <c r="AV9" s="146" t="e">
        <f t="shared" si="30"/>
        <v>#N/A</v>
      </c>
      <c r="AW9" s="144" t="str">
        <f t="shared" si="31"/>
        <v/>
      </c>
      <c r="AX9" s="147" t="str">
        <f>IF(P9="NIE STOSOWAĆ","",IFERROR(IF(OR(AT9="NIE STOSOWAĆ  NA GLEBIE BARDZO LEKKIEJ",AT9="NIE STOSOWAĆ  NA GLEBIE LEKKIEJ"),"",IF($P$2=0,"",IF(H9="","",IF(OR($I$2=$G$80,$I$2=$J$92),"rozłóż dawkę na 2 części",IF(OR($K$2&gt;AW9,$K$2=$G$66,$K$2=$H$66,$K$2=$I$66,$K$2=$J$66),$I$46,INDEX($C$254:$N$275,MATCH(E9,$B$254:$B$275,0),10)))))),""))</f>
        <v/>
      </c>
      <c r="AY9" s="147" t="str">
        <f t="shared" si="33"/>
        <v/>
      </c>
      <c r="AZ9" s="147" t="str">
        <f t="shared" si="39"/>
        <v/>
      </c>
      <c r="BA9" s="118"/>
      <c r="BB9" s="118"/>
      <c r="BC9" s="117" t="s">
        <v>185</v>
      </c>
      <c r="BD9" s="147" t="str">
        <f t="shared" si="34"/>
        <v/>
      </c>
      <c r="BE9" s="146" t="e">
        <f>IF(OR(AS9="NIE STOSOWAĆ  NA GLEBIE BARDZO LEKKIEJ",AS9="NIE STOSOWAĆ  NA GLEBIE LEKKIEJ"),"",IF(AND($K9="MgO",$L9&gt;=0.08),INDEX($C$268:$L$279,MATCH($E9,$B$268:$B$279,0),8),INDEX($C$254:$L$279,MATCH($E9,$B$254:$B$279,0),8)))</f>
        <v>#N/A</v>
      </c>
      <c r="BF9" s="146" t="e">
        <f>IF(OR(AS9="NIE STOSOWAĆ  NA GLEBIE BARDZO LEKKIEJ",AS9="NIE STOSOWAĆ  NA GLEBIE LEKKIEJ"),"",IF(AND($K9="MgO",$L9&gt;=0.08),INDEX($C$268:$L$279,MATCH($E9,$B$268:$B$279,0),9),INDEX($C$254:$L$279,MATCH($E9,$B$254:$B$279,0),9)))</f>
        <v>#N/A</v>
      </c>
      <c r="BG9" s="150">
        <f t="shared" si="35"/>
        <v>1</v>
      </c>
      <c r="BH9" s="135" t="str">
        <f t="shared" si="42"/>
        <v/>
      </c>
      <c r="BI9" s="146" t="e">
        <f t="shared" si="43"/>
        <v>#N/A</v>
      </c>
    </row>
    <row r="10" spans="1:61" ht="19.5" customHeight="1" x14ac:dyDescent="0.3">
      <c r="A10" s="1"/>
      <c r="B10" s="2"/>
      <c r="C10" s="2"/>
      <c r="D10" s="8"/>
      <c r="E10" s="152" t="str">
        <f t="shared" si="36"/>
        <v/>
      </c>
      <c r="F10" s="7"/>
      <c r="G10" s="3"/>
      <c r="H10" s="4"/>
      <c r="I10" s="4"/>
      <c r="J10" s="5"/>
      <c r="K10" s="4"/>
      <c r="L10" s="5"/>
      <c r="M10" s="5"/>
      <c r="N10" s="6"/>
      <c r="O10" s="133" t="str">
        <f t="shared" si="0"/>
        <v/>
      </c>
      <c r="P10" s="134" t="str">
        <f t="shared" si="1"/>
        <v/>
      </c>
      <c r="Q10" s="135" t="str">
        <f t="shared" si="2"/>
        <v/>
      </c>
      <c r="R10" s="136" t="str">
        <f t="shared" si="3"/>
        <v/>
      </c>
      <c r="S10" s="137" t="str">
        <f t="shared" si="4"/>
        <v/>
      </c>
      <c r="T10" s="138" t="str">
        <f t="shared" si="5"/>
        <v/>
      </c>
      <c r="U10" s="139">
        <f t="shared" si="37"/>
        <v>0</v>
      </c>
      <c r="V10" s="139" t="str">
        <f t="shared" si="6"/>
        <v/>
      </c>
      <c r="W10" s="139">
        <f t="shared" si="7"/>
        <v>0</v>
      </c>
      <c r="X10" s="139" t="str">
        <f t="shared" si="8"/>
        <v/>
      </c>
      <c r="Y10" s="139">
        <f t="shared" si="9"/>
        <v>0</v>
      </c>
      <c r="Z10" s="139" t="str">
        <f t="shared" si="10"/>
        <v/>
      </c>
      <c r="AA10" s="139">
        <f t="shared" si="11"/>
        <v>0</v>
      </c>
      <c r="AB10" s="139" t="str">
        <f t="shared" si="12"/>
        <v/>
      </c>
      <c r="AC10" s="139">
        <f t="shared" si="13"/>
        <v>0</v>
      </c>
      <c r="AD10" s="139" t="str">
        <f t="shared" si="14"/>
        <v/>
      </c>
      <c r="AE10" s="139">
        <f t="shared" si="15"/>
        <v>0</v>
      </c>
      <c r="AF10" s="139" t="str">
        <f t="shared" si="16"/>
        <v/>
      </c>
      <c r="AG10" s="139">
        <f t="shared" si="17"/>
        <v>0</v>
      </c>
      <c r="AH10" s="139" t="str">
        <f t="shared" si="18"/>
        <v/>
      </c>
      <c r="AI10" s="139">
        <f t="shared" si="19"/>
        <v>0</v>
      </c>
      <c r="AJ10" s="139" t="str">
        <f t="shared" si="20"/>
        <v/>
      </c>
      <c r="AK10" s="153" t="str">
        <f t="shared" si="21"/>
        <v/>
      </c>
      <c r="AL10">
        <v>5</v>
      </c>
      <c r="AM10" s="141" t="e">
        <f t="shared" si="22"/>
        <v>#N/A</v>
      </c>
      <c r="AN10" s="136" t="str">
        <f t="shared" si="38"/>
        <v/>
      </c>
      <c r="AO10" s="139" t="str">
        <f t="shared" si="23"/>
        <v/>
      </c>
      <c r="AP10" s="139" t="str">
        <f t="shared" si="24"/>
        <v/>
      </c>
      <c r="AQ10" s="142" t="str">
        <f t="shared" si="25"/>
        <v/>
      </c>
      <c r="AR10" s="143" t="str">
        <f t="shared" si="26"/>
        <v/>
      </c>
      <c r="AS10" s="144" t="str">
        <f t="shared" si="27"/>
        <v/>
      </c>
      <c r="AT10" s="145">
        <f t="shared" si="28"/>
        <v>0</v>
      </c>
      <c r="AU10" s="144" t="str">
        <f t="shared" si="29"/>
        <v/>
      </c>
      <c r="AV10" s="146" t="e">
        <f t="shared" si="30"/>
        <v>#N/A</v>
      </c>
      <c r="AW10" s="144" t="str">
        <f t="shared" si="31"/>
        <v/>
      </c>
      <c r="AX10" s="147" t="str">
        <f t="shared" ref="AX10" si="44">IF(P10="NIE STOSOWAĆ","",IFERROR(IF(OR(AT10="NIE STOSOWAĆ  NA GLEBIE BARDZO LEKKIEJ",AT10="NIE STOSOWAĆ  NA GLEBIE LEKKIEJ"),"",IF($P$2=0,"",IF(H10="","",IF(OR($I$2=$G$80,$I$2=$J$92),"rozłóż dawkę na 2 części",IF(OR($K$2&gt;AW10,$K$2=$G$66,$K$2=$H$66,$K$2=$I$66,$K$2=$J$66),$I$46,INDEX($C$254:$N$275,MATCH(E10,$B$254:$B$275,0),10)))))),""))</f>
        <v/>
      </c>
      <c r="AY10" s="147" t="str">
        <f t="shared" si="33"/>
        <v/>
      </c>
      <c r="AZ10" s="147" t="str">
        <f t="shared" si="39"/>
        <v/>
      </c>
      <c r="BA10" s="118"/>
      <c r="BB10" s="118"/>
      <c r="BC10" s="117" t="s">
        <v>182</v>
      </c>
      <c r="BD10" s="147" t="str">
        <f t="shared" si="34"/>
        <v/>
      </c>
      <c r="BE10" s="146" t="e">
        <f t="shared" si="40"/>
        <v>#N/A</v>
      </c>
      <c r="BF10" s="146" t="e">
        <f t="shared" si="41"/>
        <v>#N/A</v>
      </c>
      <c r="BG10" s="150">
        <f t="shared" si="35"/>
        <v>1</v>
      </c>
      <c r="BH10" s="135" t="str">
        <f t="shared" si="42"/>
        <v/>
      </c>
      <c r="BI10" s="146" t="e">
        <f t="shared" si="43"/>
        <v>#N/A</v>
      </c>
    </row>
    <row r="11" spans="1:61" ht="19.5" customHeight="1" x14ac:dyDescent="0.3">
      <c r="A11" s="1"/>
      <c r="B11" s="2"/>
      <c r="C11" s="2"/>
      <c r="D11" s="8"/>
      <c r="E11" s="152" t="str">
        <f t="shared" si="36"/>
        <v/>
      </c>
      <c r="F11" s="7"/>
      <c r="G11" s="3"/>
      <c r="H11" s="4"/>
      <c r="I11" s="4"/>
      <c r="J11" s="5"/>
      <c r="K11" s="4"/>
      <c r="L11" s="5"/>
      <c r="M11" s="5"/>
      <c r="N11" s="6"/>
      <c r="O11" s="133" t="str">
        <f t="shared" si="0"/>
        <v/>
      </c>
      <c r="P11" s="134" t="str">
        <f t="shared" si="1"/>
        <v/>
      </c>
      <c r="Q11" s="135" t="str">
        <f t="shared" si="2"/>
        <v/>
      </c>
      <c r="R11" s="136" t="str">
        <f t="shared" si="3"/>
        <v/>
      </c>
      <c r="S11" s="137" t="str">
        <f t="shared" si="4"/>
        <v/>
      </c>
      <c r="T11" s="138" t="str">
        <f t="shared" si="5"/>
        <v/>
      </c>
      <c r="U11" s="139">
        <f t="shared" si="37"/>
        <v>0</v>
      </c>
      <c r="V11" s="139" t="str">
        <f t="shared" si="6"/>
        <v/>
      </c>
      <c r="W11" s="139">
        <f t="shared" si="7"/>
        <v>0</v>
      </c>
      <c r="X11" s="139" t="str">
        <f t="shared" si="8"/>
        <v/>
      </c>
      <c r="Y11" s="139">
        <f t="shared" si="9"/>
        <v>0</v>
      </c>
      <c r="Z11" s="139" t="str">
        <f t="shared" si="10"/>
        <v/>
      </c>
      <c r="AA11" s="139">
        <f t="shared" si="11"/>
        <v>0</v>
      </c>
      <c r="AB11" s="139" t="str">
        <f t="shared" si="12"/>
        <v/>
      </c>
      <c r="AC11" s="139">
        <f t="shared" si="13"/>
        <v>0</v>
      </c>
      <c r="AD11" s="139" t="str">
        <f t="shared" si="14"/>
        <v/>
      </c>
      <c r="AE11" s="139">
        <f t="shared" si="15"/>
        <v>0</v>
      </c>
      <c r="AF11" s="139" t="str">
        <f t="shared" si="16"/>
        <v/>
      </c>
      <c r="AG11" s="139">
        <f t="shared" si="17"/>
        <v>0</v>
      </c>
      <c r="AH11" s="139" t="str">
        <f t="shared" si="18"/>
        <v/>
      </c>
      <c r="AI11" s="139">
        <f t="shared" si="19"/>
        <v>0</v>
      </c>
      <c r="AJ11" s="139" t="str">
        <f t="shared" si="20"/>
        <v/>
      </c>
      <c r="AK11" s="153" t="str">
        <f t="shared" si="21"/>
        <v/>
      </c>
      <c r="AL11">
        <v>6</v>
      </c>
      <c r="AM11" s="141" t="e">
        <f t="shared" si="22"/>
        <v>#N/A</v>
      </c>
      <c r="AN11" s="136" t="str">
        <f t="shared" si="38"/>
        <v/>
      </c>
      <c r="AO11" s="139" t="str">
        <f t="shared" si="23"/>
        <v/>
      </c>
      <c r="AP11" s="139" t="str">
        <f t="shared" si="24"/>
        <v/>
      </c>
      <c r="AQ11" s="142" t="str">
        <f t="shared" si="25"/>
        <v/>
      </c>
      <c r="AR11" s="143" t="str">
        <f t="shared" si="26"/>
        <v/>
      </c>
      <c r="AS11" s="144" t="str">
        <f t="shared" si="27"/>
        <v/>
      </c>
      <c r="AT11" s="145">
        <f t="shared" si="28"/>
        <v>0</v>
      </c>
      <c r="AU11" s="144" t="str">
        <f t="shared" si="29"/>
        <v/>
      </c>
      <c r="AV11" s="146" t="e">
        <f t="shared" si="30"/>
        <v>#N/A</v>
      </c>
      <c r="AW11" s="144" t="str">
        <f t="shared" si="31"/>
        <v/>
      </c>
      <c r="AX11" s="147" t="str">
        <f>IF(P11="NIE STOSOWAĆ","",IFERROR(IF(OR(AT11="NIE STOSOWAĆ  NA GLEBIE BARDZO LEKKIEJ",AT11="NIE STOSOWAĆ  NA GLEBIE LEKKIEJ"),"",IF($P$2=0,"",IF(H11="","",IF(OR($I$2=$G$80,$I$2=$J$92),"rozłóż dawkę na 2 części",IF(OR($I$2&gt;AW11,$I$2=$G$66,$I$2=$H$66,$K$2=$I$66,$I$2=$J$66),$I$46,INDEX($C$254:$N$279,MATCH(E11,$B$254:$B$279,0),10)))))),""))</f>
        <v/>
      </c>
      <c r="AY11" s="147" t="str">
        <f t="shared" si="33"/>
        <v/>
      </c>
      <c r="AZ11" s="147" t="str">
        <f t="shared" si="39"/>
        <v/>
      </c>
      <c r="BA11" s="118"/>
      <c r="BB11" s="118"/>
      <c r="BC11" s="117" t="s">
        <v>188</v>
      </c>
      <c r="BD11" s="147" t="str">
        <f t="shared" si="34"/>
        <v/>
      </c>
      <c r="BE11" s="146" t="e">
        <f t="shared" si="40"/>
        <v>#N/A</v>
      </c>
      <c r="BF11" s="146" t="e">
        <f t="shared" si="41"/>
        <v>#N/A</v>
      </c>
      <c r="BG11" s="150">
        <f t="shared" si="35"/>
        <v>1</v>
      </c>
      <c r="BH11" s="135" t="str">
        <f t="shared" si="42"/>
        <v/>
      </c>
      <c r="BI11" s="146" t="e">
        <f t="shared" si="43"/>
        <v>#N/A</v>
      </c>
    </row>
    <row r="12" spans="1:61" ht="19.5" customHeight="1" x14ac:dyDescent="0.3">
      <c r="A12" s="1"/>
      <c r="B12" s="2"/>
      <c r="C12" s="2"/>
      <c r="D12" s="8"/>
      <c r="E12" s="152" t="str">
        <f t="shared" si="36"/>
        <v/>
      </c>
      <c r="F12" s="7"/>
      <c r="G12" s="3"/>
      <c r="H12" s="4"/>
      <c r="I12" s="4"/>
      <c r="J12" s="5"/>
      <c r="K12" s="4"/>
      <c r="L12" s="5"/>
      <c r="M12" s="5"/>
      <c r="N12" s="6"/>
      <c r="O12" s="133" t="str">
        <f t="shared" si="0"/>
        <v/>
      </c>
      <c r="P12" s="134" t="str">
        <f t="shared" si="1"/>
        <v/>
      </c>
      <c r="Q12" s="135" t="str">
        <f t="shared" si="2"/>
        <v/>
      </c>
      <c r="R12" s="136" t="str">
        <f t="shared" si="3"/>
        <v/>
      </c>
      <c r="S12" s="137" t="str">
        <f t="shared" si="4"/>
        <v/>
      </c>
      <c r="T12" s="138" t="str">
        <f t="shared" si="5"/>
        <v/>
      </c>
      <c r="U12" s="139">
        <f t="shared" si="37"/>
        <v>0</v>
      </c>
      <c r="V12" s="139" t="str">
        <f t="shared" si="6"/>
        <v/>
      </c>
      <c r="W12" s="139">
        <f t="shared" si="7"/>
        <v>0</v>
      </c>
      <c r="X12" s="139" t="str">
        <f t="shared" si="8"/>
        <v/>
      </c>
      <c r="Y12" s="139">
        <f t="shared" si="9"/>
        <v>0</v>
      </c>
      <c r="Z12" s="139" t="str">
        <f t="shared" si="10"/>
        <v/>
      </c>
      <c r="AA12" s="139">
        <f t="shared" si="11"/>
        <v>0</v>
      </c>
      <c r="AB12" s="139" t="str">
        <f t="shared" si="12"/>
        <v/>
      </c>
      <c r="AC12" s="139">
        <f t="shared" si="13"/>
        <v>0</v>
      </c>
      <c r="AD12" s="139" t="str">
        <f t="shared" si="14"/>
        <v/>
      </c>
      <c r="AE12" s="139">
        <f t="shared" si="15"/>
        <v>0</v>
      </c>
      <c r="AF12" s="139" t="str">
        <f t="shared" si="16"/>
        <v/>
      </c>
      <c r="AG12" s="139">
        <f t="shared" si="17"/>
        <v>0</v>
      </c>
      <c r="AH12" s="139" t="str">
        <f t="shared" si="18"/>
        <v/>
      </c>
      <c r="AI12" s="139">
        <f t="shared" si="19"/>
        <v>0</v>
      </c>
      <c r="AJ12" s="139" t="str">
        <f t="shared" si="20"/>
        <v/>
      </c>
      <c r="AK12" s="153" t="str">
        <f t="shared" si="21"/>
        <v/>
      </c>
      <c r="AL12">
        <v>7</v>
      </c>
      <c r="AM12" s="141" t="e">
        <f t="shared" si="22"/>
        <v>#N/A</v>
      </c>
      <c r="AN12" s="136" t="str">
        <f t="shared" si="38"/>
        <v/>
      </c>
      <c r="AO12" s="139" t="str">
        <f t="shared" si="23"/>
        <v/>
      </c>
      <c r="AP12" s="139" t="str">
        <f t="shared" si="24"/>
        <v/>
      </c>
      <c r="AQ12" s="142" t="str">
        <f t="shared" si="25"/>
        <v/>
      </c>
      <c r="AR12" s="143" t="str">
        <f t="shared" si="26"/>
        <v/>
      </c>
      <c r="AS12" s="144" t="str">
        <f t="shared" si="27"/>
        <v/>
      </c>
      <c r="AT12" s="145">
        <f t="shared" si="28"/>
        <v>0</v>
      </c>
      <c r="AU12" s="144" t="str">
        <f t="shared" si="29"/>
        <v/>
      </c>
      <c r="AV12" s="146" t="e">
        <f t="shared" si="30"/>
        <v>#N/A</v>
      </c>
      <c r="AW12" s="144" t="str">
        <f>IF(OR(AS12="NIE STOSOWAĆ  NA GLEBIE BARDZO LEKKIEJ",AS12="NIE STOSOWAĆ  NA GLEBIE LEKKIEJ"),"",IF($P$2=0,"",IF(G12="","",IF(OR($I$2=$G$80,$I$2=$J$92),"rozłóż dawkę na 2 części",IF(OR($I$2&gt;AV12,$I$2=$G$66,$I$2=$H$66,$I$2=$I$66,$I$2=$J$66),$I$46,"")))))</f>
        <v/>
      </c>
      <c r="AX12" s="147" t="str">
        <f>IF(P12="NIE STOSOWAĆ","",IFERROR(IF(OR(AT12="NIE STOSOWAĆ  NA GLEBIE BARDZO LEKKIEJ",AT12="NIE STOSOWAĆ  NA GLEBIE LEKKIEJ"),"",IF($P$2=0,"",IF(H12="","",IF(OR($I$2=$G$80,$I$2=$J$92),"rozłóż dawkę na 2 części",IF(OR($I$2&gt;AW12,$I$2=$G$66,$I$2=$H$66,$K$2=$I$66,$I$2=$J$66),$I$46,INDEX($C$254:$N$279,MATCH(E12,$B$254:$B$279,0),10)))))),""))</f>
        <v/>
      </c>
      <c r="AY12" s="147" t="str">
        <f>IF(P12="NIE STOSOWAĆ","",IFERROR(IF(OR(AU12="NIE STOSOWAĆ  NA GLEBIE BARDZO LEKKIEJ",AU12="NIE STOSOWAĆ  NA GLEBIE LEKKIEJ"),"",IF($P$2=0,"",IF(I12="","",IF(OR($I$2=$G$80,$I$2=$J$92),"rozłóż dawkę na 2 części",IF(OR($K$2&gt;AX12,$K$2=$G$66,$K$2=$H$66,$K$2=$I$66,$K$2=$J$66),$I$46,INDEX($C$254:$N$279,MATCH(E12,$B$254:$B$279,0),11)))))),""))</f>
        <v/>
      </c>
      <c r="AZ12" s="147" t="str">
        <f>IF(P12="NIE STOSOWAĆ","",IFERROR(IF(OR(AU12="NIE STOSOWAĆ  NA GLEBIE BARDZO LEKKIEJ",AU12="NIE STOSOWAĆ  NA GLEBIE LEKKIEJ"),"",IF($P$2=0,"",IF(I12="","",IF(OR($I$2=$G$80,$I$2=$J$92),"rozłóż dawkę na 2 części",IF(OR($K$2&gt;AX12,$K$2=$G$66,$K$2=$H$66,$K$2=$I$66,$K$2=$J$66),$I$46,INDEX($C$254:$N$279,MATCH(E12,$B$254:$B$279,0),12)))))),""))</f>
        <v/>
      </c>
      <c r="BA12" s="118"/>
      <c r="BB12" s="118"/>
      <c r="BC12" s="117"/>
      <c r="BD12" s="147" t="str">
        <f t="shared" si="34"/>
        <v/>
      </c>
      <c r="BE12" s="146" t="e">
        <f t="shared" si="40"/>
        <v>#N/A</v>
      </c>
      <c r="BF12" s="146" t="e">
        <f t="shared" si="41"/>
        <v>#N/A</v>
      </c>
      <c r="BG12" s="150">
        <f t="shared" si="35"/>
        <v>1</v>
      </c>
      <c r="BH12" s="135" t="str">
        <f t="shared" si="42"/>
        <v/>
      </c>
      <c r="BI12" s="146" t="e">
        <f t="shared" si="43"/>
        <v>#N/A</v>
      </c>
    </row>
    <row r="13" spans="1:61" ht="25.15" customHeight="1" x14ac:dyDescent="0.3">
      <c r="A13" s="1"/>
      <c r="B13" s="2"/>
      <c r="C13" s="2"/>
      <c r="D13" s="8"/>
      <c r="E13" s="152" t="str">
        <f t="shared" si="36"/>
        <v/>
      </c>
      <c r="F13" s="7"/>
      <c r="G13" s="3"/>
      <c r="H13" s="4"/>
      <c r="I13" s="4"/>
      <c r="J13" s="5"/>
      <c r="K13" s="4"/>
      <c r="L13" s="5"/>
      <c r="M13" s="5"/>
      <c r="N13" s="6"/>
      <c r="O13" s="133" t="str">
        <f t="shared" si="0"/>
        <v/>
      </c>
      <c r="P13" s="134" t="str">
        <f t="shared" si="1"/>
        <v/>
      </c>
      <c r="Q13" s="135" t="str">
        <f t="shared" si="2"/>
        <v/>
      </c>
      <c r="R13" s="136" t="str">
        <f t="shared" si="3"/>
        <v/>
      </c>
      <c r="S13" s="137" t="str">
        <f t="shared" si="4"/>
        <v/>
      </c>
      <c r="T13" s="138" t="str">
        <f t="shared" si="5"/>
        <v/>
      </c>
      <c r="U13" s="139">
        <f t="shared" si="37"/>
        <v>0</v>
      </c>
      <c r="V13" s="139" t="str">
        <f t="shared" si="6"/>
        <v/>
      </c>
      <c r="W13" s="139">
        <f t="shared" si="7"/>
        <v>0</v>
      </c>
      <c r="X13" s="139" t="str">
        <f t="shared" si="8"/>
        <v/>
      </c>
      <c r="Y13" s="139">
        <f t="shared" si="9"/>
        <v>0</v>
      </c>
      <c r="Z13" s="139" t="str">
        <f t="shared" si="10"/>
        <v/>
      </c>
      <c r="AA13" s="139">
        <f t="shared" si="11"/>
        <v>0</v>
      </c>
      <c r="AB13" s="139" t="str">
        <f t="shared" si="12"/>
        <v/>
      </c>
      <c r="AC13" s="139">
        <f t="shared" si="13"/>
        <v>0</v>
      </c>
      <c r="AD13" s="139" t="str">
        <f t="shared" si="14"/>
        <v/>
      </c>
      <c r="AE13" s="139">
        <f t="shared" si="15"/>
        <v>0</v>
      </c>
      <c r="AF13" s="139" t="str">
        <f t="shared" si="16"/>
        <v/>
      </c>
      <c r="AG13" s="139">
        <f t="shared" si="17"/>
        <v>0</v>
      </c>
      <c r="AH13" s="139" t="str">
        <f t="shared" si="18"/>
        <v/>
      </c>
      <c r="AI13" s="139">
        <f t="shared" si="19"/>
        <v>0</v>
      </c>
      <c r="AJ13" s="139" t="str">
        <f t="shared" si="20"/>
        <v/>
      </c>
      <c r="AK13" s="153" t="str">
        <f t="shared" si="21"/>
        <v/>
      </c>
      <c r="AL13">
        <v>8</v>
      </c>
      <c r="AM13" s="141" t="e">
        <f t="shared" si="22"/>
        <v>#N/A</v>
      </c>
      <c r="AN13" s="136" t="str">
        <f t="shared" si="38"/>
        <v/>
      </c>
      <c r="AO13" s="139" t="str">
        <f t="shared" si="23"/>
        <v/>
      </c>
      <c r="AP13" s="139" t="str">
        <f t="shared" si="24"/>
        <v/>
      </c>
      <c r="AQ13" s="142" t="str">
        <f t="shared" si="25"/>
        <v/>
      </c>
      <c r="AR13" s="143" t="str">
        <f t="shared" si="26"/>
        <v/>
      </c>
      <c r="AS13" s="144" t="str">
        <f t="shared" si="27"/>
        <v/>
      </c>
      <c r="AT13" s="145">
        <f t="shared" si="28"/>
        <v>0</v>
      </c>
      <c r="AU13" s="144" t="str">
        <f t="shared" si="29"/>
        <v/>
      </c>
      <c r="AV13" s="146" t="e">
        <f t="shared" si="30"/>
        <v>#N/A</v>
      </c>
      <c r="AW13" s="144" t="str">
        <f t="shared" ref="AW13:AW14" si="45">IF(OR(AS13="NIE STOSOWAĆ  NA GLEBIE BARDZO LEKKIEJ",AS13="NIE STOSOWAĆ  NA GLEBIE LEKKIEJ"),"",IF($P$2=0,"",IF(G13="","",IF(OR($I$2=$G$80,$I$2=$J$92),"rozłóż dawkę na 2 części",IF(OR($I$2&gt;AV13,$I$2=$G$66,$I$2=$H$66,$I$2=$I$66,$I$2=$J$66),$I$46,"")))))</f>
        <v/>
      </c>
      <c r="AX13" s="147" t="str">
        <f>IF(P13="NIE STOSOWAĆ","",IFERROR(IF(OR(AT13="NIE STOSOWAĆ  NA GLEBIE BARDZO LEKKIEJ",AT13="NIE STOSOWAĆ  NA GLEBIE LEKKIEJ"),"",IF($P$2=0,"",IF(H13="","",IF(OR($I$2=$G$80,$I$2=$J$92),"rozłóż dawkę na 2 części",IF(OR($I$2&gt;AW13,$I$2=$G$66,$I$2=$H$66,$K$2=$I$66,$I$2=$J$66),$I$46,INDEX($C$254:$N$279,MATCH(E13,$B$254:$B$279,0),10)))))),""))</f>
        <v/>
      </c>
      <c r="AY13" s="147" t="str">
        <f t="shared" ref="AY13:AY14" si="46">IF(P13="NIE STOSOWAĆ","",IFERROR(IF(OR(AU13="NIE STOSOWAĆ  NA GLEBIE BARDZO LEKKIEJ",AU13="NIE STOSOWAĆ  NA GLEBIE LEKKIEJ"),"",IF($P$2=0,"",IF(I13="","",IF(OR($I$2=$G$80,$I$2=$J$92),"rozłóż dawkę na 2 części",IF(OR($K$2&gt;AX13,$K$2=$G$66,$K$2=$H$66,$K$2=$I$66,$K$2=$J$66),$I$46,INDEX($C$254:$N$279,MATCH(E13,$B$254:$B$279,0),11)))))),""))</f>
        <v/>
      </c>
      <c r="AZ13" s="147" t="str">
        <f>IF(P13="NIE STOSOWAĆ","",IFERROR(IF(OR(AU13="NIE STOSOWAĆ  NA GLEBIE BARDZO LEKKIEJ",AU13="NIE STOSOWAĆ  NA GLEBIE LEKKIEJ"),"",IF($P$2=0,"",IF(I13="","",IF(OR($I$2=$G$80,$I$2=$J$92),"rozłóż dawkę na 2 części",IF(OR($K$2&gt;AX13,$K$2=$G$66,$K$2=$H$66,$K$2=$I$66,$K$2=$J$66),$I$46,INDEX($C$254:$N$279,MATCH(E13,$B$254:$B$279,0),12)))))),""))</f>
        <v/>
      </c>
      <c r="BA13" s="118"/>
      <c r="BB13" s="118"/>
      <c r="BC13" s="117"/>
      <c r="BD13" s="147" t="str">
        <f t="shared" si="34"/>
        <v/>
      </c>
      <c r="BE13" s="146" t="e">
        <f t="shared" si="40"/>
        <v>#N/A</v>
      </c>
      <c r="BF13" s="146" t="e">
        <f t="shared" si="41"/>
        <v>#N/A</v>
      </c>
      <c r="BG13" s="150">
        <f t="shared" si="35"/>
        <v>1</v>
      </c>
      <c r="BH13" s="135" t="str">
        <f t="shared" si="42"/>
        <v/>
      </c>
      <c r="BI13" s="146" t="e">
        <f t="shared" si="43"/>
        <v>#N/A</v>
      </c>
    </row>
    <row r="14" spans="1:61" ht="19.5" customHeight="1" x14ac:dyDescent="0.3">
      <c r="A14" s="1"/>
      <c r="B14" s="2"/>
      <c r="C14" s="2"/>
      <c r="D14" s="8"/>
      <c r="E14" s="152" t="str">
        <f t="shared" si="36"/>
        <v/>
      </c>
      <c r="F14" s="7"/>
      <c r="G14" s="4"/>
      <c r="H14" s="4"/>
      <c r="I14" s="4"/>
      <c r="J14" s="6"/>
      <c r="K14" s="4"/>
      <c r="L14" s="5"/>
      <c r="M14" s="6"/>
      <c r="N14" s="6"/>
      <c r="O14" s="133" t="str">
        <f t="shared" si="0"/>
        <v/>
      </c>
      <c r="P14" s="134" t="str">
        <f t="shared" si="1"/>
        <v/>
      </c>
      <c r="Q14" s="135" t="str">
        <f t="shared" si="2"/>
        <v/>
      </c>
      <c r="R14" s="136" t="str">
        <f t="shared" si="3"/>
        <v/>
      </c>
      <c r="S14" s="137" t="str">
        <f t="shared" si="4"/>
        <v/>
      </c>
      <c r="T14" s="138" t="str">
        <f t="shared" si="5"/>
        <v/>
      </c>
      <c r="U14" s="139">
        <f t="shared" si="37"/>
        <v>0</v>
      </c>
      <c r="V14" s="139" t="str">
        <f t="shared" si="6"/>
        <v/>
      </c>
      <c r="W14" s="139">
        <f t="shared" si="7"/>
        <v>0</v>
      </c>
      <c r="X14" s="139" t="str">
        <f t="shared" si="8"/>
        <v/>
      </c>
      <c r="Y14" s="139">
        <f t="shared" si="9"/>
        <v>0</v>
      </c>
      <c r="Z14" s="139" t="str">
        <f t="shared" si="10"/>
        <v/>
      </c>
      <c r="AA14" s="139">
        <f t="shared" si="11"/>
        <v>0</v>
      </c>
      <c r="AB14" s="139" t="str">
        <f t="shared" si="12"/>
        <v/>
      </c>
      <c r="AC14" s="139">
        <f t="shared" si="13"/>
        <v>0</v>
      </c>
      <c r="AD14" s="139" t="str">
        <f t="shared" si="14"/>
        <v/>
      </c>
      <c r="AE14" s="139">
        <f t="shared" si="15"/>
        <v>0</v>
      </c>
      <c r="AF14" s="139" t="str">
        <f t="shared" si="16"/>
        <v/>
      </c>
      <c r="AG14" s="139">
        <f t="shared" si="17"/>
        <v>0</v>
      </c>
      <c r="AH14" s="139" t="str">
        <f t="shared" si="18"/>
        <v/>
      </c>
      <c r="AI14" s="139">
        <f t="shared" si="19"/>
        <v>0</v>
      </c>
      <c r="AJ14" s="139" t="str">
        <f t="shared" si="20"/>
        <v/>
      </c>
      <c r="AK14" s="153" t="str">
        <f t="shared" si="21"/>
        <v/>
      </c>
      <c r="AL14">
        <v>9</v>
      </c>
      <c r="AM14" s="141" t="e">
        <f t="shared" si="22"/>
        <v>#N/A</v>
      </c>
      <c r="AN14" s="136" t="str">
        <f t="shared" si="38"/>
        <v/>
      </c>
      <c r="AO14" s="139" t="str">
        <f t="shared" si="23"/>
        <v/>
      </c>
      <c r="AP14" s="139" t="str">
        <f t="shared" si="24"/>
        <v/>
      </c>
      <c r="AQ14" s="142" t="str">
        <f t="shared" si="25"/>
        <v/>
      </c>
      <c r="AR14" s="143" t="str">
        <f t="shared" si="26"/>
        <v/>
      </c>
      <c r="AS14" s="144" t="str">
        <f t="shared" si="27"/>
        <v/>
      </c>
      <c r="AT14" s="145">
        <f t="shared" si="28"/>
        <v>0</v>
      </c>
      <c r="AU14" s="144" t="str">
        <f t="shared" si="29"/>
        <v/>
      </c>
      <c r="AV14" s="146" t="e">
        <f t="shared" si="30"/>
        <v>#N/A</v>
      </c>
      <c r="AW14" s="144" t="str">
        <f t="shared" si="45"/>
        <v/>
      </c>
      <c r="AX14" s="147" t="str">
        <f>IF(P14="NIE STOSOWAĆ","",IFERROR(IF(OR(AT14="NIE STOSOWAĆ  NA GLEBIE BARDZO LEKKIEJ",AT14="NIE STOSOWAĆ  NA GLEBIE LEKKIEJ"),"",IF($P$2=0,"",IF(H14="","",IF(OR($I$2=$G$80,$I$2=$J$92),"rozłóż dawkę na 2 części",IF(OR($I$2&gt;AW14,$I$2=$G$66,$I$2=$H$66,$K$2=$I$66,$I$2=$J$66),$I$46,INDEX($C$254:$N$279,MATCH(E14,$B$254:$B$279,0),10)))))),""))</f>
        <v/>
      </c>
      <c r="AY14" s="147" t="str">
        <f t="shared" si="46"/>
        <v/>
      </c>
      <c r="AZ14" s="147" t="str">
        <f>IF(P14="NIE STOSOWAĆ","",IFERROR(IF(OR(AU14="NIE STOSOWAĆ  NA GLEBIE BARDZO LEKKIEJ",AU14="NIE STOSOWAĆ  NA GLEBIE LEKKIEJ"),"",IF($P$2=0,"",IF(I14="","",IF(OR($I$2=$G$80,$I$2=$J$92),"rozłóż dawkę na 2 części",IF(OR($K$2&gt;AX14,$K$2=$G$66,$K$2=$H$66,$K$2=$I$66,$K$2=$J$66),$I$46,INDEX($C$254:$N$279,MATCH(E14,$B$254:$B$279,0),12)))))),""))</f>
        <v/>
      </c>
      <c r="BA14" s="118"/>
      <c r="BB14" s="118"/>
      <c r="BC14" s="117"/>
      <c r="BD14" s="147" t="str">
        <f t="shared" si="34"/>
        <v/>
      </c>
      <c r="BE14" s="146" t="e">
        <f t="shared" si="40"/>
        <v>#N/A</v>
      </c>
      <c r="BF14" s="146" t="e">
        <f t="shared" si="41"/>
        <v>#N/A</v>
      </c>
      <c r="BG14" s="150">
        <f t="shared" si="35"/>
        <v>1</v>
      </c>
      <c r="BH14" s="151" t="str">
        <f t="shared" si="42"/>
        <v/>
      </c>
      <c r="BI14" s="146" t="e">
        <f t="shared" si="43"/>
        <v>#N/A</v>
      </c>
    </row>
    <row r="15" spans="1:61" ht="13.5" thickBot="1" x14ac:dyDescent="0.25">
      <c r="T15" s="140">
        <f>IF(Q15=$Q$16,1,IF(Q15=$V$16,2,IF(Q15=$X$16,3,IF(Q15=$Z$16,4,IF(Q15=$AB$16,5,IF(Q15=$AD$16,6,IF(Q15=$AF$16,7,IF(Q15=$AH$16,8,9))))))))</f>
        <v>1</v>
      </c>
      <c r="U15" s="139">
        <f t="shared" si="37"/>
        <v>1</v>
      </c>
      <c r="V15" s="139">
        <f t="shared" si="6"/>
        <v>0</v>
      </c>
      <c r="W15" s="139">
        <f t="shared" si="7"/>
        <v>1</v>
      </c>
      <c r="X15" s="139">
        <f t="shared" si="8"/>
        <v>0</v>
      </c>
      <c r="Y15" s="139">
        <f t="shared" si="9"/>
        <v>1</v>
      </c>
      <c r="Z15" s="139">
        <f t="shared" si="10"/>
        <v>0</v>
      </c>
      <c r="AA15" s="139">
        <f t="shared" si="11"/>
        <v>1</v>
      </c>
      <c r="AB15" s="139">
        <f t="shared" si="12"/>
        <v>0</v>
      </c>
      <c r="AC15" s="139">
        <f t="shared" si="13"/>
        <v>1</v>
      </c>
      <c r="AD15" s="139">
        <f t="shared" si="14"/>
        <v>0</v>
      </c>
      <c r="AE15" s="139">
        <f t="shared" si="15"/>
        <v>1</v>
      </c>
      <c r="AF15" s="139">
        <f t="shared" si="16"/>
        <v>0</v>
      </c>
      <c r="AG15" s="139">
        <f t="shared" si="17"/>
        <v>1</v>
      </c>
      <c r="AH15" s="139">
        <f t="shared" si="18"/>
        <v>0</v>
      </c>
      <c r="AI15" s="139">
        <f t="shared" si="19"/>
        <v>1</v>
      </c>
      <c r="AJ15" s="139">
        <f t="shared" si="20"/>
        <v>0</v>
      </c>
    </row>
    <row r="16" spans="1:61" ht="15" customHeight="1" thickBot="1" x14ac:dyDescent="0.25">
      <c r="Q16" s="154">
        <f>MAX(Q6:Q14)</f>
        <v>0</v>
      </c>
      <c r="R16"/>
      <c r="S16"/>
      <c r="T16"/>
      <c r="V16" s="139">
        <f>MAX(V6:V15)</f>
        <v>0</v>
      </c>
      <c r="X16" s="139">
        <f>MAX(X6:X15)</f>
        <v>0</v>
      </c>
      <c r="Z16" s="139">
        <f>MAX(Z6:Z15)</f>
        <v>0</v>
      </c>
      <c r="AB16" s="139">
        <f>MAX(AB6:AB15)</f>
        <v>0</v>
      </c>
      <c r="AD16" s="139">
        <f>MAX(AD6:AD15)</f>
        <v>0</v>
      </c>
      <c r="AF16" s="139">
        <f>MAX(AF6:AF15)</f>
        <v>0</v>
      </c>
      <c r="AH16" s="139">
        <f>MAX(AH6:AH15)</f>
        <v>0</v>
      </c>
      <c r="AJ16" s="139">
        <f>MAX(AJ6:AJ15)</f>
        <v>0</v>
      </c>
    </row>
    <row r="33" spans="1:49" ht="140.25" hidden="1" x14ac:dyDescent="0.2">
      <c r="AT33" s="43" t="s">
        <v>26</v>
      </c>
      <c r="AU33" s="43" t="s">
        <v>27</v>
      </c>
      <c r="AV33" s="43" t="s">
        <v>28</v>
      </c>
      <c r="AW33" s="43" t="s">
        <v>28</v>
      </c>
    </row>
    <row r="34" spans="1:49" hidden="1" x14ac:dyDescent="0.2">
      <c r="AS34" s="139">
        <f>COUNTBLANK(AS6:AS14)</f>
        <v>9</v>
      </c>
      <c r="AU34" s="139">
        <f>COUNTBLANK(AU6:AU14)</f>
        <v>9</v>
      </c>
      <c r="AW34" s="139">
        <f>COUNTBLANK(AW6:AW14)</f>
        <v>9</v>
      </c>
    </row>
    <row r="35" spans="1:49" hidden="1" x14ac:dyDescent="0.2"/>
    <row r="36" spans="1:49" hidden="1" x14ac:dyDescent="0.2"/>
    <row r="37" spans="1:49" hidden="1" x14ac:dyDescent="0.2"/>
    <row r="38" spans="1:49" hidden="1" x14ac:dyDescent="0.2"/>
    <row r="39" spans="1:49" hidden="1" x14ac:dyDescent="0.2">
      <c r="D39" s="24" t="s">
        <v>104</v>
      </c>
      <c r="E39" s="24"/>
      <c r="F39" s="24"/>
      <c r="G39" s="24"/>
      <c r="O39" s="24" t="s">
        <v>29</v>
      </c>
      <c r="P39" s="44" t="s">
        <v>30</v>
      </c>
      <c r="Q39" s="44" t="s">
        <v>31</v>
      </c>
      <c r="R39" s="44" t="s">
        <v>32</v>
      </c>
    </row>
    <row r="40" spans="1:49" ht="15" hidden="1" x14ac:dyDescent="0.25">
      <c r="A40" t="s">
        <v>33</v>
      </c>
      <c r="D40" s="45">
        <v>2</v>
      </c>
      <c r="E40" s="45"/>
      <c r="F40" s="41" t="s">
        <v>34</v>
      </c>
      <c r="G40" s="46" t="s">
        <v>35</v>
      </c>
      <c r="M40" s="47"/>
      <c r="O40" s="48" t="s">
        <v>36</v>
      </c>
      <c r="P40" s="49" t="s">
        <v>37</v>
      </c>
      <c r="Q40" s="44">
        <v>90.01</v>
      </c>
      <c r="R40" s="44">
        <v>100</v>
      </c>
    </row>
    <row r="41" spans="1:49" ht="15" hidden="1" x14ac:dyDescent="0.25">
      <c r="A41" t="s">
        <v>33</v>
      </c>
      <c r="D41" s="45">
        <v>2</v>
      </c>
      <c r="E41" s="45"/>
      <c r="F41" s="41" t="s">
        <v>34</v>
      </c>
      <c r="G41" s="46" t="s">
        <v>38</v>
      </c>
      <c r="J41" s="24"/>
      <c r="O41" s="48" t="s">
        <v>39</v>
      </c>
      <c r="P41" s="49" t="s">
        <v>40</v>
      </c>
      <c r="Q41" s="44">
        <v>75.010000000000005</v>
      </c>
      <c r="R41" s="44">
        <v>90</v>
      </c>
    </row>
    <row r="42" spans="1:49" ht="15" hidden="1" x14ac:dyDescent="0.25">
      <c r="A42" t="s">
        <v>41</v>
      </c>
      <c r="D42" s="45">
        <v>3</v>
      </c>
      <c r="E42" s="45"/>
      <c r="F42" s="41" t="s">
        <v>34</v>
      </c>
      <c r="G42" s="46" t="s">
        <v>3</v>
      </c>
      <c r="O42" s="48" t="s">
        <v>42</v>
      </c>
      <c r="P42" s="49" t="s">
        <v>43</v>
      </c>
      <c r="Q42" s="44">
        <v>60.01</v>
      </c>
      <c r="R42" s="44">
        <v>75</v>
      </c>
    </row>
    <row r="43" spans="1:49" ht="15" hidden="1" x14ac:dyDescent="0.25">
      <c r="A43" t="s">
        <v>44</v>
      </c>
      <c r="D43" s="50">
        <v>4</v>
      </c>
      <c r="E43" s="50"/>
      <c r="F43" s="51" t="s">
        <v>34</v>
      </c>
      <c r="G43" s="52" t="s">
        <v>45</v>
      </c>
      <c r="K43" s="53"/>
      <c r="O43" s="48" t="s">
        <v>46</v>
      </c>
      <c r="P43" s="49" t="s">
        <v>47</v>
      </c>
      <c r="Q43" s="44">
        <v>40.01</v>
      </c>
      <c r="R43" s="44">
        <v>60</v>
      </c>
    </row>
    <row r="44" spans="1:49" hidden="1" x14ac:dyDescent="0.2">
      <c r="A44" t="s">
        <v>48</v>
      </c>
      <c r="B44" s="54"/>
      <c r="C44" s="54"/>
      <c r="D44" s="54"/>
      <c r="E44" s="54"/>
      <c r="F44" s="55" t="s">
        <v>49</v>
      </c>
      <c r="G44" s="56" t="s">
        <v>50</v>
      </c>
      <c r="J44" s="53"/>
      <c r="K44" s="53"/>
      <c r="O44" s="48" t="s">
        <v>51</v>
      </c>
      <c r="P44" s="49" t="s">
        <v>52</v>
      </c>
      <c r="Q44" s="44">
        <v>20.010000000000002</v>
      </c>
      <c r="R44" s="44">
        <v>40</v>
      </c>
    </row>
    <row r="45" spans="1:49" hidden="1" x14ac:dyDescent="0.2">
      <c r="A45" t="s">
        <v>53</v>
      </c>
      <c r="B45" s="54"/>
      <c r="C45" s="54"/>
      <c r="D45" s="54"/>
      <c r="E45" s="54"/>
      <c r="F45" s="55" t="s">
        <v>49</v>
      </c>
      <c r="G45" s="56" t="s">
        <v>54</v>
      </c>
      <c r="H45" s="57" t="s">
        <v>105</v>
      </c>
      <c r="K45" s="53"/>
      <c r="O45" s="48" t="s">
        <v>55</v>
      </c>
      <c r="P45" s="49" t="s">
        <v>56</v>
      </c>
      <c r="Q45" s="44">
        <v>0</v>
      </c>
      <c r="R45" s="44">
        <v>20</v>
      </c>
    </row>
    <row r="46" spans="1:49" ht="15" hidden="1" x14ac:dyDescent="0.25">
      <c r="A46" t="s">
        <v>57</v>
      </c>
      <c r="F46" s="42" t="s">
        <v>58</v>
      </c>
      <c r="G46" s="58" t="s">
        <v>35</v>
      </c>
      <c r="H46" s="59">
        <v>4.5999999999999996</v>
      </c>
      <c r="I46" s="60" t="s">
        <v>59</v>
      </c>
    </row>
    <row r="47" spans="1:49" ht="15" hidden="1" x14ac:dyDescent="0.25">
      <c r="A47" t="s">
        <v>60</v>
      </c>
      <c r="F47" s="42" t="s">
        <v>58</v>
      </c>
      <c r="G47" s="46" t="s">
        <v>38</v>
      </c>
      <c r="H47" s="59">
        <v>5.0999999999999996</v>
      </c>
    </row>
    <row r="48" spans="1:49" ht="15" hidden="1" x14ac:dyDescent="0.25">
      <c r="A48" t="s">
        <v>61</v>
      </c>
      <c r="F48" s="42" t="s">
        <v>58</v>
      </c>
      <c r="G48" s="46" t="s">
        <v>3</v>
      </c>
      <c r="H48" s="59">
        <v>5.6</v>
      </c>
    </row>
    <row r="49" spans="1:17" ht="15" hidden="1" x14ac:dyDescent="0.25">
      <c r="A49" t="s">
        <v>62</v>
      </c>
      <c r="F49" s="42" t="s">
        <v>58</v>
      </c>
      <c r="G49" s="46" t="s">
        <v>45</v>
      </c>
      <c r="H49" s="59">
        <v>6.1</v>
      </c>
      <c r="M49" s="61"/>
    </row>
    <row r="50" spans="1:17" ht="25.5" hidden="1" x14ac:dyDescent="0.2">
      <c r="A50" t="s">
        <v>63</v>
      </c>
      <c r="F50" s="42" t="s">
        <v>64</v>
      </c>
      <c r="K50" s="34" t="s">
        <v>245</v>
      </c>
    </row>
    <row r="51" spans="1:17" hidden="1" x14ac:dyDescent="0.2">
      <c r="A51" t="s">
        <v>65</v>
      </c>
      <c r="F51" s="42" t="s">
        <v>66</v>
      </c>
      <c r="J51" s="62" t="s">
        <v>225</v>
      </c>
      <c r="K51" s="63" t="s">
        <v>243</v>
      </c>
      <c r="L51" s="63" t="s">
        <v>244</v>
      </c>
      <c r="M51" s="34" t="s">
        <v>226</v>
      </c>
      <c r="N51" s="20" t="s">
        <v>227</v>
      </c>
    </row>
    <row r="52" spans="1:17" ht="25.5" hidden="1" x14ac:dyDescent="0.2">
      <c r="A52" t="s">
        <v>67</v>
      </c>
      <c r="F52" s="42" t="s">
        <v>68</v>
      </c>
      <c r="J52" s="64" t="s">
        <v>228</v>
      </c>
      <c r="K52" s="65">
        <v>0.02</v>
      </c>
      <c r="L52" s="65"/>
      <c r="M52" s="66" t="s">
        <v>229</v>
      </c>
      <c r="N52" s="67" t="s">
        <v>230</v>
      </c>
    </row>
    <row r="53" spans="1:17" ht="25.5" hidden="1" x14ac:dyDescent="0.2">
      <c r="F53" s="42"/>
      <c r="J53" s="64" t="s">
        <v>231</v>
      </c>
      <c r="K53" s="65">
        <v>0.02</v>
      </c>
      <c r="L53" s="65">
        <v>0.08</v>
      </c>
      <c r="M53" s="66" t="s">
        <v>232</v>
      </c>
      <c r="N53" s="67" t="s">
        <v>233</v>
      </c>
    </row>
    <row r="54" spans="1:17" ht="25.5" hidden="1" x14ac:dyDescent="0.2">
      <c r="A54" t="s">
        <v>69</v>
      </c>
      <c r="F54" s="42"/>
      <c r="J54" s="64" t="s">
        <v>234</v>
      </c>
      <c r="K54" s="65">
        <v>0.08</v>
      </c>
      <c r="L54" s="65">
        <v>0.15</v>
      </c>
      <c r="M54" s="66" t="s">
        <v>235</v>
      </c>
      <c r="N54" s="67" t="s">
        <v>236</v>
      </c>
    </row>
    <row r="55" spans="1:17" ht="25.5" hidden="1" x14ac:dyDescent="0.2">
      <c r="A55" s="68" t="s">
        <v>70</v>
      </c>
      <c r="C55" t="s">
        <v>246</v>
      </c>
      <c r="F55" s="42"/>
      <c r="J55" s="64" t="s">
        <v>237</v>
      </c>
      <c r="K55" s="65">
        <v>0.15</v>
      </c>
      <c r="L55" s="65">
        <v>0.2</v>
      </c>
      <c r="M55" s="66" t="s">
        <v>238</v>
      </c>
      <c r="N55" s="67" t="s">
        <v>239</v>
      </c>
    </row>
    <row r="56" spans="1:17" ht="25.5" hidden="1" x14ac:dyDescent="0.2">
      <c r="A56" s="68" t="s">
        <v>71</v>
      </c>
      <c r="C56" t="s">
        <v>247</v>
      </c>
      <c r="F56" s="42"/>
      <c r="J56" s="64" t="s">
        <v>240</v>
      </c>
      <c r="K56" s="65">
        <v>0.2</v>
      </c>
      <c r="L56" s="65"/>
      <c r="M56" s="66" t="s">
        <v>241</v>
      </c>
      <c r="N56" s="67" t="s">
        <v>242</v>
      </c>
    </row>
    <row r="57" spans="1:17" hidden="1" x14ac:dyDescent="0.2">
      <c r="A57" s="68" t="s">
        <v>72</v>
      </c>
      <c r="C57" t="s">
        <v>248</v>
      </c>
      <c r="F57" s="42"/>
    </row>
    <row r="58" spans="1:17" hidden="1" x14ac:dyDescent="0.2">
      <c r="A58" s="68" t="s">
        <v>73</v>
      </c>
      <c r="C58" t="s">
        <v>249</v>
      </c>
      <c r="F58" s="42"/>
    </row>
    <row r="59" spans="1:17" hidden="1" x14ac:dyDescent="0.2">
      <c r="A59" s="68" t="s">
        <v>74</v>
      </c>
      <c r="F59" s="42"/>
    </row>
    <row r="60" spans="1:17" hidden="1" x14ac:dyDescent="0.2">
      <c r="F60" s="42"/>
    </row>
    <row r="61" spans="1:17" ht="15" hidden="1" x14ac:dyDescent="0.25">
      <c r="F61" s="69" t="s">
        <v>75</v>
      </c>
      <c r="G61" s="70" t="s">
        <v>76</v>
      </c>
      <c r="H61" s="71"/>
      <c r="I61" s="71"/>
      <c r="J61" s="71"/>
      <c r="P61" s="72" t="s">
        <v>77</v>
      </c>
      <c r="Q61" s="72"/>
    </row>
    <row r="62" spans="1:17" ht="15" hidden="1" x14ac:dyDescent="0.25">
      <c r="F62" s="73" t="s">
        <v>35</v>
      </c>
      <c r="G62" s="70"/>
      <c r="H62" s="71"/>
      <c r="I62" s="71"/>
      <c r="J62" s="71"/>
      <c r="P62" s="40" t="s">
        <v>78</v>
      </c>
      <c r="Q62" s="45">
        <v>1</v>
      </c>
    </row>
    <row r="63" spans="1:17" ht="15" hidden="1" x14ac:dyDescent="0.25">
      <c r="F63" s="73" t="s">
        <v>38</v>
      </c>
      <c r="G63" s="175" t="s">
        <v>4</v>
      </c>
      <c r="H63" s="177" t="s">
        <v>4</v>
      </c>
      <c r="I63" s="177" t="s">
        <v>4</v>
      </c>
      <c r="J63" s="177" t="s">
        <v>4</v>
      </c>
      <c r="M63" s="74"/>
      <c r="N63" s="74"/>
      <c r="O63" s="74"/>
      <c r="P63" s="40" t="s">
        <v>22</v>
      </c>
      <c r="Q63" s="45">
        <v>1</v>
      </c>
    </row>
    <row r="64" spans="1:17" ht="15" hidden="1" x14ac:dyDescent="0.25">
      <c r="F64" s="73" t="s">
        <v>3</v>
      </c>
      <c r="G64" s="176"/>
      <c r="H64" s="178"/>
      <c r="I64" s="178"/>
      <c r="J64" s="178"/>
      <c r="K64" s="75"/>
      <c r="L64" s="60"/>
      <c r="M64" s="60"/>
      <c r="N64" s="60"/>
      <c r="P64" s="40" t="s">
        <v>23</v>
      </c>
      <c r="Q64" s="45">
        <v>1.39</v>
      </c>
    </row>
    <row r="65" spans="1:17" ht="15.75" hidden="1" x14ac:dyDescent="0.3">
      <c r="A65" t="s">
        <v>13</v>
      </c>
      <c r="B65" t="s">
        <v>12</v>
      </c>
      <c r="F65" s="58" t="s">
        <v>45</v>
      </c>
      <c r="G65" s="76" t="s">
        <v>35</v>
      </c>
      <c r="H65" s="76" t="s">
        <v>38</v>
      </c>
      <c r="I65" s="76" t="s">
        <v>3</v>
      </c>
      <c r="J65" s="76" t="s">
        <v>45</v>
      </c>
      <c r="K65" s="56" t="s">
        <v>20</v>
      </c>
      <c r="L65" s="54" t="s">
        <v>24</v>
      </c>
      <c r="M65" s="54"/>
      <c r="N65" s="54"/>
      <c r="P65" s="40" t="s">
        <v>79</v>
      </c>
      <c r="Q65" s="45">
        <v>0.56000000000000005</v>
      </c>
    </row>
    <row r="66" spans="1:17" ht="15.75" hidden="1" x14ac:dyDescent="0.3">
      <c r="A66" s="68" t="s">
        <v>222</v>
      </c>
      <c r="B66" t="s">
        <v>24</v>
      </c>
      <c r="G66" s="77" t="s">
        <v>80</v>
      </c>
      <c r="H66" s="77" t="s">
        <v>81</v>
      </c>
      <c r="I66" s="77" t="s">
        <v>82</v>
      </c>
      <c r="J66" s="77" t="s">
        <v>83</v>
      </c>
      <c r="K66" t="s">
        <v>182</v>
      </c>
      <c r="L66" t="s">
        <v>182</v>
      </c>
      <c r="P66" s="40" t="s">
        <v>84</v>
      </c>
      <c r="Q66" s="45">
        <v>0.66</v>
      </c>
    </row>
    <row r="67" spans="1:17" ht="15" hidden="1" x14ac:dyDescent="0.25">
      <c r="A67" s="78" t="s">
        <v>219</v>
      </c>
      <c r="B67" t="s">
        <v>20</v>
      </c>
      <c r="C67" s="79" t="s">
        <v>206</v>
      </c>
      <c r="F67" s="33" t="s">
        <v>85</v>
      </c>
      <c r="G67" s="80">
        <v>5</v>
      </c>
      <c r="H67" s="80">
        <v>5.5</v>
      </c>
      <c r="I67" s="80">
        <v>6</v>
      </c>
      <c r="J67" s="80">
        <v>6.3</v>
      </c>
      <c r="K67" t="s">
        <v>183</v>
      </c>
      <c r="L67" t="s">
        <v>183</v>
      </c>
    </row>
    <row r="68" spans="1:17" ht="15" hidden="1" x14ac:dyDescent="0.25">
      <c r="A68" s="78" t="s">
        <v>220</v>
      </c>
      <c r="C68" s="79" t="s">
        <v>210</v>
      </c>
      <c r="F68" s="33" t="s">
        <v>50</v>
      </c>
      <c r="G68" s="80">
        <v>4.9000000000000004</v>
      </c>
      <c r="H68" s="80">
        <v>5.4</v>
      </c>
      <c r="I68" s="80">
        <v>5.9</v>
      </c>
      <c r="J68" s="80">
        <v>6.2</v>
      </c>
      <c r="K68" t="s">
        <v>184</v>
      </c>
      <c r="L68" t="s">
        <v>184</v>
      </c>
    </row>
    <row r="69" spans="1:17" ht="15" hidden="1" x14ac:dyDescent="0.25">
      <c r="A69" s="78" t="s">
        <v>221</v>
      </c>
      <c r="C69" s="79" t="s">
        <v>213</v>
      </c>
      <c r="F69" s="33" t="s">
        <v>54</v>
      </c>
      <c r="G69" s="80">
        <v>4.8</v>
      </c>
      <c r="H69" s="80">
        <v>5.3</v>
      </c>
      <c r="I69" s="80">
        <v>5.8</v>
      </c>
      <c r="J69" s="80">
        <v>6.1</v>
      </c>
      <c r="K69" t="s">
        <v>185</v>
      </c>
      <c r="L69" t="s">
        <v>185</v>
      </c>
    </row>
    <row r="70" spans="1:17" ht="15" hidden="1" x14ac:dyDescent="0.25">
      <c r="A70" s="78" t="s">
        <v>223</v>
      </c>
      <c r="C70" s="79" t="s">
        <v>224</v>
      </c>
      <c r="F70" s="33" t="s">
        <v>3</v>
      </c>
      <c r="G70" s="80">
        <v>4.7</v>
      </c>
      <c r="H70" s="80">
        <v>5.2</v>
      </c>
      <c r="I70" s="80">
        <v>5.7</v>
      </c>
      <c r="J70" s="80">
        <v>6</v>
      </c>
      <c r="K70" t="s">
        <v>186</v>
      </c>
      <c r="L70" t="s">
        <v>186</v>
      </c>
    </row>
    <row r="71" spans="1:17" ht="15" hidden="1" x14ac:dyDescent="0.25">
      <c r="A71" s="68" t="s">
        <v>204</v>
      </c>
      <c r="B71" s="68"/>
      <c r="F71" s="33" t="s">
        <v>87</v>
      </c>
      <c r="G71" s="80">
        <v>4.5999999999999996</v>
      </c>
      <c r="H71" s="80">
        <v>5.0999999999999996</v>
      </c>
      <c r="I71" s="80">
        <v>5.6</v>
      </c>
      <c r="J71" s="80">
        <v>5.9</v>
      </c>
      <c r="K71" t="s">
        <v>187</v>
      </c>
      <c r="L71" t="s">
        <v>187</v>
      </c>
    </row>
    <row r="72" spans="1:17" ht="15" hidden="1" x14ac:dyDescent="0.25">
      <c r="A72" s="68" t="s">
        <v>25</v>
      </c>
      <c r="B72" s="68"/>
      <c r="F72" s="33" t="s">
        <v>88</v>
      </c>
      <c r="G72" s="80">
        <v>4.5</v>
      </c>
      <c r="H72" s="80">
        <v>5</v>
      </c>
      <c r="I72" s="80">
        <v>5.5</v>
      </c>
      <c r="J72" s="80">
        <v>5.8</v>
      </c>
      <c r="K72" t="s">
        <v>188</v>
      </c>
      <c r="L72" t="s">
        <v>188</v>
      </c>
    </row>
    <row r="73" spans="1:17" ht="15" hidden="1" x14ac:dyDescent="0.25">
      <c r="G73" s="80">
        <v>4.4000000000000004</v>
      </c>
      <c r="H73" s="80">
        <v>4.9000000000000004</v>
      </c>
      <c r="I73" s="80">
        <v>5.4</v>
      </c>
      <c r="J73" s="80">
        <v>5.7</v>
      </c>
      <c r="K73" t="s">
        <v>189</v>
      </c>
    </row>
    <row r="74" spans="1:17" ht="15" hidden="1" x14ac:dyDescent="0.25">
      <c r="G74" s="80">
        <v>4.3</v>
      </c>
      <c r="H74" s="80">
        <v>4.8</v>
      </c>
      <c r="I74" s="80">
        <v>5.3</v>
      </c>
      <c r="J74" s="80">
        <v>5.6</v>
      </c>
      <c r="K74" t="s">
        <v>190</v>
      </c>
    </row>
    <row r="75" spans="1:17" ht="15" hidden="1" x14ac:dyDescent="0.25">
      <c r="G75" s="80">
        <v>4.2</v>
      </c>
      <c r="H75" s="80">
        <v>4.7</v>
      </c>
      <c r="I75" s="80">
        <v>5.2</v>
      </c>
      <c r="J75" s="80">
        <v>5.5</v>
      </c>
      <c r="K75" t="s">
        <v>154</v>
      </c>
    </row>
    <row r="76" spans="1:17" ht="15" hidden="1" x14ac:dyDescent="0.25">
      <c r="G76" s="80">
        <v>4.0999999999999996</v>
      </c>
      <c r="H76" s="80">
        <v>4.5999999999999996</v>
      </c>
      <c r="I76" s="80">
        <v>5.0999999999999996</v>
      </c>
      <c r="J76" s="80">
        <v>5.4</v>
      </c>
      <c r="K76" t="s">
        <v>157</v>
      </c>
    </row>
    <row r="77" spans="1:17" ht="15" hidden="1" x14ac:dyDescent="0.25">
      <c r="G77" s="80">
        <v>4</v>
      </c>
      <c r="H77" s="80">
        <v>4.5</v>
      </c>
      <c r="I77" s="80">
        <v>5</v>
      </c>
      <c r="J77" s="80">
        <v>5.3</v>
      </c>
      <c r="K77" t="s">
        <v>160</v>
      </c>
    </row>
    <row r="78" spans="1:17" ht="15" hidden="1" x14ac:dyDescent="0.25">
      <c r="G78" s="80">
        <v>3.9</v>
      </c>
      <c r="H78" s="80">
        <v>4.4000000000000004</v>
      </c>
      <c r="I78" s="80">
        <v>4.9000000000000004</v>
      </c>
      <c r="J78" s="80">
        <v>5.2</v>
      </c>
      <c r="K78" t="s">
        <v>164</v>
      </c>
    </row>
    <row r="79" spans="1:17" ht="15" hidden="1" x14ac:dyDescent="0.25">
      <c r="G79" s="80">
        <v>3.8</v>
      </c>
      <c r="H79" s="80">
        <v>4.3</v>
      </c>
      <c r="I79" s="80">
        <v>4.8</v>
      </c>
      <c r="J79" s="80">
        <v>5.0999999999999996</v>
      </c>
    </row>
    <row r="80" spans="1:17" ht="15" hidden="1" x14ac:dyDescent="0.25">
      <c r="G80" s="80" t="s">
        <v>89</v>
      </c>
      <c r="H80" s="80">
        <v>4.2</v>
      </c>
      <c r="I80" s="80">
        <v>4.7</v>
      </c>
      <c r="J80" s="80">
        <v>5</v>
      </c>
    </row>
    <row r="81" spans="1:10" ht="15" hidden="1" x14ac:dyDescent="0.25">
      <c r="G81" s="80"/>
      <c r="H81" s="80">
        <v>4.0999999999999996</v>
      </c>
      <c r="I81" s="80">
        <v>4.5999999999999996</v>
      </c>
      <c r="J81" s="80">
        <v>4.9000000000000004</v>
      </c>
    </row>
    <row r="82" spans="1:10" ht="15" hidden="1" x14ac:dyDescent="0.25">
      <c r="G82" s="80"/>
      <c r="H82" s="80">
        <v>4</v>
      </c>
      <c r="I82" s="80">
        <v>4.5</v>
      </c>
      <c r="J82" s="80">
        <v>4.8</v>
      </c>
    </row>
    <row r="83" spans="1:10" ht="15" hidden="1" x14ac:dyDescent="0.25">
      <c r="G83" s="80"/>
      <c r="H83" s="80">
        <v>3.9</v>
      </c>
      <c r="I83" s="80">
        <v>4.4000000000000004</v>
      </c>
      <c r="J83" s="80">
        <v>4.7</v>
      </c>
    </row>
    <row r="84" spans="1:10" ht="15" hidden="1" x14ac:dyDescent="0.25">
      <c r="G84" s="80"/>
      <c r="H84" s="80">
        <v>3.8</v>
      </c>
      <c r="I84" s="80">
        <v>4.3</v>
      </c>
      <c r="J84" s="80">
        <v>4.5999999999999996</v>
      </c>
    </row>
    <row r="85" spans="1:10" ht="15" hidden="1" x14ac:dyDescent="0.25">
      <c r="G85" s="80"/>
      <c r="H85" s="80" t="s">
        <v>89</v>
      </c>
      <c r="I85" s="80">
        <v>4.2</v>
      </c>
      <c r="J85" s="80">
        <v>4.5</v>
      </c>
    </row>
    <row r="86" spans="1:10" ht="15" hidden="1" x14ac:dyDescent="0.25">
      <c r="G86" s="80"/>
      <c r="H86" s="71"/>
      <c r="I86" s="80">
        <v>4.0999999999999996</v>
      </c>
      <c r="J86" s="80">
        <v>4.4000000000000004</v>
      </c>
    </row>
    <row r="87" spans="1:10" ht="15" hidden="1" x14ac:dyDescent="0.25">
      <c r="G87" s="80"/>
      <c r="H87" s="71"/>
      <c r="I87" s="80">
        <v>4</v>
      </c>
      <c r="J87" s="80">
        <v>4.3</v>
      </c>
    </row>
    <row r="88" spans="1:10" ht="15" hidden="1" x14ac:dyDescent="0.25">
      <c r="G88" s="80"/>
      <c r="H88" s="71"/>
      <c r="I88" s="80">
        <v>3.9</v>
      </c>
      <c r="J88" s="80">
        <v>4.2</v>
      </c>
    </row>
    <row r="89" spans="1:10" ht="15" hidden="1" x14ac:dyDescent="0.25">
      <c r="G89" s="80"/>
      <c r="H89" s="71"/>
      <c r="I89" s="80" t="s">
        <v>90</v>
      </c>
      <c r="J89" s="80">
        <v>4.0999999999999996</v>
      </c>
    </row>
    <row r="90" spans="1:10" ht="15" hidden="1" x14ac:dyDescent="0.25">
      <c r="G90" s="80"/>
      <c r="H90" s="71"/>
      <c r="I90" s="71"/>
      <c r="J90" s="80">
        <v>4</v>
      </c>
    </row>
    <row r="91" spans="1:10" ht="15" hidden="1" x14ac:dyDescent="0.25">
      <c r="G91" s="80"/>
      <c r="H91" s="71"/>
      <c r="I91" s="71"/>
      <c r="J91" s="80">
        <v>3.9</v>
      </c>
    </row>
    <row r="92" spans="1:10" ht="15" hidden="1" x14ac:dyDescent="0.25">
      <c r="G92" s="80"/>
      <c r="H92" s="71"/>
      <c r="I92" s="71"/>
      <c r="J92" s="80" t="s">
        <v>90</v>
      </c>
    </row>
    <row r="93" spans="1:10" hidden="1" x14ac:dyDescent="0.2"/>
    <row r="94" spans="1:10" ht="19.149999999999999" hidden="1" customHeight="1" x14ac:dyDescent="0.2">
      <c r="A94" s="81" t="s">
        <v>193</v>
      </c>
      <c r="B94" s="82"/>
      <c r="C94" s="82"/>
      <c r="D94" s="82"/>
      <c r="E94" s="82"/>
      <c r="F94" s="170" t="s">
        <v>76</v>
      </c>
      <c r="G94" s="170"/>
      <c r="H94" s="170"/>
      <c r="I94" s="170"/>
    </row>
    <row r="95" spans="1:10" hidden="1" x14ac:dyDescent="0.2">
      <c r="F95" s="170"/>
      <c r="G95" s="170"/>
      <c r="H95" s="170"/>
      <c r="I95" s="170"/>
    </row>
    <row r="96" spans="1:10" ht="15" hidden="1" x14ac:dyDescent="0.25">
      <c r="F96" s="83" t="s">
        <v>91</v>
      </c>
      <c r="G96" s="80" t="s">
        <v>80</v>
      </c>
      <c r="H96" s="80">
        <v>0</v>
      </c>
      <c r="I96" s="80">
        <v>0</v>
      </c>
      <c r="J96" s="84">
        <v>0</v>
      </c>
    </row>
    <row r="97" spans="6:10" ht="15" hidden="1" x14ac:dyDescent="0.25">
      <c r="F97" s="83" t="s">
        <v>91</v>
      </c>
      <c r="G97" s="80">
        <v>5</v>
      </c>
      <c r="H97" s="80">
        <v>0.2</v>
      </c>
      <c r="I97" s="80">
        <v>0.2</v>
      </c>
      <c r="J97" s="84">
        <v>0</v>
      </c>
    </row>
    <row r="98" spans="6:10" ht="15" hidden="1" x14ac:dyDescent="0.25">
      <c r="F98" s="83" t="s">
        <v>91</v>
      </c>
      <c r="G98" s="80">
        <v>4.9000000000000004</v>
      </c>
      <c r="H98" s="80">
        <v>0.5</v>
      </c>
      <c r="I98" s="80">
        <v>0.5</v>
      </c>
      <c r="J98" s="84">
        <v>0</v>
      </c>
    </row>
    <row r="99" spans="6:10" ht="15" hidden="1" x14ac:dyDescent="0.25">
      <c r="F99" s="83" t="s">
        <v>91</v>
      </c>
      <c r="G99" s="80">
        <v>4.8</v>
      </c>
      <c r="H99" s="80">
        <v>0.8</v>
      </c>
      <c r="I99" s="80">
        <v>0.8</v>
      </c>
      <c r="J99" s="84">
        <v>0</v>
      </c>
    </row>
    <row r="100" spans="6:10" ht="15" hidden="1" x14ac:dyDescent="0.25">
      <c r="F100" s="83" t="s">
        <v>91</v>
      </c>
      <c r="G100" s="80">
        <v>4.7</v>
      </c>
      <c r="H100" s="80">
        <v>1</v>
      </c>
      <c r="I100" s="80">
        <v>1</v>
      </c>
      <c r="J100" s="84">
        <v>0</v>
      </c>
    </row>
    <row r="101" spans="6:10" ht="15" hidden="1" x14ac:dyDescent="0.25">
      <c r="F101" s="83" t="s">
        <v>91</v>
      </c>
      <c r="G101" s="80">
        <v>4.5999999999999996</v>
      </c>
      <c r="H101" s="80">
        <v>1.3</v>
      </c>
      <c r="I101" s="80">
        <v>1.3</v>
      </c>
      <c r="J101" s="84">
        <v>0</v>
      </c>
    </row>
    <row r="102" spans="6:10" ht="15" hidden="1" x14ac:dyDescent="0.25">
      <c r="F102" s="83" t="s">
        <v>91</v>
      </c>
      <c r="G102" s="80">
        <v>4.5</v>
      </c>
      <c r="H102" s="80">
        <v>1.6</v>
      </c>
      <c r="I102" s="80">
        <v>1.6</v>
      </c>
      <c r="J102" s="84">
        <v>0</v>
      </c>
    </row>
    <row r="103" spans="6:10" ht="15" hidden="1" x14ac:dyDescent="0.25">
      <c r="F103" s="83" t="s">
        <v>91</v>
      </c>
      <c r="G103" s="80">
        <v>4.4000000000000004</v>
      </c>
      <c r="H103" s="80">
        <v>1.8</v>
      </c>
      <c r="I103" s="80">
        <v>1.8</v>
      </c>
      <c r="J103" s="84">
        <v>0</v>
      </c>
    </row>
    <row r="104" spans="6:10" ht="15" hidden="1" x14ac:dyDescent="0.25">
      <c r="F104" s="83" t="s">
        <v>91</v>
      </c>
      <c r="G104" s="80">
        <v>4.3</v>
      </c>
      <c r="H104" s="80">
        <v>2</v>
      </c>
      <c r="I104" s="80">
        <v>2</v>
      </c>
      <c r="J104" s="84">
        <v>0</v>
      </c>
    </row>
    <row r="105" spans="6:10" ht="15" hidden="1" x14ac:dyDescent="0.25">
      <c r="F105" s="83" t="s">
        <v>91</v>
      </c>
      <c r="G105" s="80">
        <v>4.2</v>
      </c>
      <c r="H105" s="80">
        <v>2.2000000000000002</v>
      </c>
      <c r="I105" s="80">
        <v>2.2000000000000002</v>
      </c>
      <c r="J105" s="84">
        <v>0</v>
      </c>
    </row>
    <row r="106" spans="6:10" ht="15" hidden="1" x14ac:dyDescent="0.25">
      <c r="F106" s="83" t="s">
        <v>91</v>
      </c>
      <c r="G106" s="80">
        <v>4.0999999999999996</v>
      </c>
      <c r="H106" s="80">
        <v>2.4</v>
      </c>
      <c r="I106" s="80">
        <v>2.4</v>
      </c>
      <c r="J106" s="84">
        <v>0</v>
      </c>
    </row>
    <row r="107" spans="6:10" ht="15" hidden="1" x14ac:dyDescent="0.25">
      <c r="F107" s="83" t="s">
        <v>91</v>
      </c>
      <c r="G107" s="80">
        <v>4</v>
      </c>
      <c r="H107" s="80">
        <v>2.8</v>
      </c>
      <c r="I107" s="80">
        <v>2.8</v>
      </c>
      <c r="J107" s="84">
        <v>0</v>
      </c>
    </row>
    <row r="108" spans="6:10" ht="15" hidden="1" x14ac:dyDescent="0.25">
      <c r="F108" s="83" t="s">
        <v>91</v>
      </c>
      <c r="G108" s="80">
        <v>3.9</v>
      </c>
      <c r="H108" s="80">
        <v>3.1</v>
      </c>
      <c r="I108" s="80">
        <v>3.1</v>
      </c>
      <c r="J108" s="84">
        <v>0</v>
      </c>
    </row>
    <row r="109" spans="6:10" ht="15" hidden="1" x14ac:dyDescent="0.25">
      <c r="F109" s="83" t="s">
        <v>91</v>
      </c>
      <c r="G109" s="80">
        <v>3.8</v>
      </c>
      <c r="H109" s="80">
        <v>3.4</v>
      </c>
      <c r="I109" s="80">
        <v>3.4</v>
      </c>
      <c r="J109" s="84">
        <v>0</v>
      </c>
    </row>
    <row r="110" spans="6:10" ht="15" hidden="1" x14ac:dyDescent="0.25">
      <c r="F110" s="83" t="s">
        <v>91</v>
      </c>
      <c r="G110" s="80" t="s">
        <v>89</v>
      </c>
      <c r="H110" s="80">
        <v>3.4</v>
      </c>
      <c r="I110" s="80">
        <v>3.4</v>
      </c>
      <c r="J110" s="84">
        <v>0</v>
      </c>
    </row>
    <row r="111" spans="6:10" ht="15" hidden="1" x14ac:dyDescent="0.25">
      <c r="F111" s="83" t="s">
        <v>92</v>
      </c>
      <c r="G111" s="80" t="s">
        <v>81</v>
      </c>
      <c r="H111" s="80">
        <v>0</v>
      </c>
      <c r="I111" s="80">
        <v>0</v>
      </c>
      <c r="J111" s="85">
        <v>0</v>
      </c>
    </row>
    <row r="112" spans="6:10" ht="15" hidden="1" x14ac:dyDescent="0.25">
      <c r="F112" s="83" t="s">
        <v>92</v>
      </c>
      <c r="G112" s="80">
        <v>5.5</v>
      </c>
      <c r="H112" s="80">
        <v>0.2</v>
      </c>
      <c r="I112" s="80">
        <v>0.2</v>
      </c>
      <c r="J112" s="85">
        <v>0</v>
      </c>
    </row>
    <row r="113" spans="6:10" ht="15" hidden="1" x14ac:dyDescent="0.25">
      <c r="F113" s="83" t="s">
        <v>92</v>
      </c>
      <c r="G113" s="80">
        <v>5.4</v>
      </c>
      <c r="H113" s="80">
        <v>0.5</v>
      </c>
      <c r="I113" s="80">
        <v>0.5</v>
      </c>
      <c r="J113" s="85">
        <v>0</v>
      </c>
    </row>
    <row r="114" spans="6:10" ht="15" hidden="1" x14ac:dyDescent="0.25">
      <c r="F114" s="83" t="s">
        <v>92</v>
      </c>
      <c r="G114" s="80">
        <v>5.3</v>
      </c>
      <c r="H114" s="80">
        <v>0.9</v>
      </c>
      <c r="I114" s="80">
        <v>0.9</v>
      </c>
      <c r="J114" s="85">
        <v>0</v>
      </c>
    </row>
    <row r="115" spans="6:10" ht="15" hidden="1" x14ac:dyDescent="0.25">
      <c r="F115" s="83" t="s">
        <v>92</v>
      </c>
      <c r="G115" s="80">
        <v>5.2</v>
      </c>
      <c r="H115" s="80">
        <v>1.2</v>
      </c>
      <c r="I115" s="80">
        <v>1.2</v>
      </c>
      <c r="J115" s="85">
        <v>0</v>
      </c>
    </row>
    <row r="116" spans="6:10" ht="15" hidden="1" x14ac:dyDescent="0.25">
      <c r="F116" s="83" t="s">
        <v>92</v>
      </c>
      <c r="G116" s="80">
        <v>5.0999999999999996</v>
      </c>
      <c r="H116" s="80">
        <v>1.5</v>
      </c>
      <c r="I116" s="80">
        <v>1.5</v>
      </c>
      <c r="J116" s="85">
        <v>0</v>
      </c>
    </row>
    <row r="117" spans="6:10" ht="15" hidden="1" x14ac:dyDescent="0.25">
      <c r="F117" s="83" t="s">
        <v>92</v>
      </c>
      <c r="G117" s="80">
        <v>5</v>
      </c>
      <c r="H117" s="80">
        <v>1.8</v>
      </c>
      <c r="I117" s="80">
        <v>1.8</v>
      </c>
      <c r="J117" s="85">
        <v>0</v>
      </c>
    </row>
    <row r="118" spans="6:10" ht="15" hidden="1" x14ac:dyDescent="0.25">
      <c r="F118" s="83" t="s">
        <v>92</v>
      </c>
      <c r="G118" s="80">
        <v>4.9000000000000004</v>
      </c>
      <c r="H118" s="80">
        <v>2.1</v>
      </c>
      <c r="I118" s="80">
        <v>2.1</v>
      </c>
      <c r="J118" s="85">
        <v>0</v>
      </c>
    </row>
    <row r="119" spans="6:10" ht="15" hidden="1" x14ac:dyDescent="0.25">
      <c r="F119" s="83" t="s">
        <v>92</v>
      </c>
      <c r="G119" s="80">
        <v>4.8</v>
      </c>
      <c r="H119" s="80">
        <v>2.2999999999999998</v>
      </c>
      <c r="I119" s="80">
        <v>2.2999999999999998</v>
      </c>
      <c r="J119" s="85">
        <v>0</v>
      </c>
    </row>
    <row r="120" spans="6:10" ht="15" hidden="1" x14ac:dyDescent="0.25">
      <c r="F120" s="83" t="s">
        <v>92</v>
      </c>
      <c r="G120" s="80">
        <v>4.7</v>
      </c>
      <c r="H120" s="80">
        <v>2.6</v>
      </c>
      <c r="I120" s="80">
        <v>2.6</v>
      </c>
      <c r="J120" s="85">
        <v>0</v>
      </c>
    </row>
    <row r="121" spans="6:10" ht="15" hidden="1" x14ac:dyDescent="0.25">
      <c r="F121" s="83" t="s">
        <v>92</v>
      </c>
      <c r="G121" s="80">
        <v>4.5999999999999996</v>
      </c>
      <c r="H121" s="80">
        <v>2.9</v>
      </c>
      <c r="I121" s="80">
        <v>2.9</v>
      </c>
      <c r="J121" s="85">
        <v>0</v>
      </c>
    </row>
    <row r="122" spans="6:10" ht="15" hidden="1" x14ac:dyDescent="0.25">
      <c r="F122" s="83" t="s">
        <v>92</v>
      </c>
      <c r="G122" s="80">
        <v>4.5</v>
      </c>
      <c r="H122" s="80">
        <v>3.1</v>
      </c>
      <c r="I122" s="80">
        <v>3.1</v>
      </c>
      <c r="J122" s="85">
        <v>0</v>
      </c>
    </row>
    <row r="123" spans="6:10" ht="15" hidden="1" x14ac:dyDescent="0.25">
      <c r="F123" s="83" t="s">
        <v>92</v>
      </c>
      <c r="G123" s="80">
        <v>4.4000000000000004</v>
      </c>
      <c r="H123" s="80">
        <v>3.4</v>
      </c>
      <c r="I123" s="80">
        <v>3.4</v>
      </c>
      <c r="J123" s="85">
        <v>0</v>
      </c>
    </row>
    <row r="124" spans="6:10" ht="15" hidden="1" x14ac:dyDescent="0.25">
      <c r="F124" s="83" t="s">
        <v>92</v>
      </c>
      <c r="G124" s="80">
        <v>4.3</v>
      </c>
      <c r="H124" s="80">
        <v>4.5</v>
      </c>
      <c r="I124" s="80">
        <v>3.5</v>
      </c>
      <c r="J124" s="80">
        <v>1</v>
      </c>
    </row>
    <row r="125" spans="6:10" ht="15" hidden="1" x14ac:dyDescent="0.25">
      <c r="F125" s="83" t="s">
        <v>92</v>
      </c>
      <c r="G125" s="80">
        <v>4.2</v>
      </c>
      <c r="H125" s="80">
        <v>4.7</v>
      </c>
      <c r="I125" s="80">
        <v>3.5</v>
      </c>
      <c r="J125" s="80">
        <v>1.2</v>
      </c>
    </row>
    <row r="126" spans="6:10" ht="15" hidden="1" x14ac:dyDescent="0.25">
      <c r="F126" s="83" t="s">
        <v>92</v>
      </c>
      <c r="G126" s="80">
        <v>4.0999999999999996</v>
      </c>
      <c r="H126" s="80">
        <v>5.5</v>
      </c>
      <c r="I126" s="80">
        <v>3.5</v>
      </c>
      <c r="J126" s="80">
        <v>2</v>
      </c>
    </row>
    <row r="127" spans="6:10" ht="15" hidden="1" x14ac:dyDescent="0.25">
      <c r="F127" s="83" t="s">
        <v>92</v>
      </c>
      <c r="G127" s="80">
        <v>4</v>
      </c>
      <c r="H127" s="80">
        <v>5.9</v>
      </c>
      <c r="I127" s="80">
        <v>3.5</v>
      </c>
      <c r="J127" s="80">
        <v>2.4</v>
      </c>
    </row>
    <row r="128" spans="6:10" ht="15" hidden="1" x14ac:dyDescent="0.25">
      <c r="F128" s="83" t="s">
        <v>92</v>
      </c>
      <c r="G128" s="80">
        <v>3.9</v>
      </c>
      <c r="H128" s="80">
        <v>6.3</v>
      </c>
      <c r="I128" s="80">
        <v>3.5</v>
      </c>
      <c r="J128" s="80">
        <v>2.8</v>
      </c>
    </row>
    <row r="129" spans="6:10" ht="15" hidden="1" x14ac:dyDescent="0.25">
      <c r="F129" s="83" t="s">
        <v>92</v>
      </c>
      <c r="G129" s="80">
        <v>3.8</v>
      </c>
      <c r="H129" s="80">
        <v>6.5</v>
      </c>
      <c r="I129" s="80">
        <v>3.5</v>
      </c>
      <c r="J129" s="80">
        <v>3</v>
      </c>
    </row>
    <row r="130" spans="6:10" ht="15" hidden="1" x14ac:dyDescent="0.25">
      <c r="F130" s="83" t="s">
        <v>92</v>
      </c>
      <c r="G130" s="80" t="s">
        <v>89</v>
      </c>
      <c r="H130" s="80">
        <v>6.5</v>
      </c>
      <c r="I130" s="80">
        <v>3.5</v>
      </c>
      <c r="J130" s="80">
        <v>3</v>
      </c>
    </row>
    <row r="131" spans="6:10" ht="15" hidden="1" x14ac:dyDescent="0.25">
      <c r="F131" s="83" t="s">
        <v>93</v>
      </c>
      <c r="G131" s="80" t="s">
        <v>82</v>
      </c>
      <c r="H131" s="80">
        <v>0</v>
      </c>
      <c r="I131" s="80">
        <v>0</v>
      </c>
      <c r="J131" s="85">
        <v>0</v>
      </c>
    </row>
    <row r="132" spans="6:10" ht="15" hidden="1" x14ac:dyDescent="0.25">
      <c r="F132" s="83" t="s">
        <v>93</v>
      </c>
      <c r="G132" s="80">
        <v>6</v>
      </c>
      <c r="H132" s="80">
        <v>0.4</v>
      </c>
      <c r="I132" s="80">
        <v>0.4</v>
      </c>
      <c r="J132" s="85">
        <v>0</v>
      </c>
    </row>
    <row r="133" spans="6:10" ht="15" hidden="1" x14ac:dyDescent="0.25">
      <c r="F133" s="83" t="s">
        <v>93</v>
      </c>
      <c r="G133" s="80">
        <v>5.9</v>
      </c>
      <c r="H133" s="80">
        <v>0.8</v>
      </c>
      <c r="I133" s="80">
        <v>0.8</v>
      </c>
      <c r="J133" s="85">
        <v>0</v>
      </c>
    </row>
    <row r="134" spans="6:10" ht="15" hidden="1" x14ac:dyDescent="0.25">
      <c r="F134" s="83" t="s">
        <v>93</v>
      </c>
      <c r="G134" s="80">
        <v>5.8</v>
      </c>
      <c r="H134" s="80">
        <v>1.2</v>
      </c>
      <c r="I134" s="80">
        <v>1.2</v>
      </c>
      <c r="J134" s="85">
        <v>0</v>
      </c>
    </row>
    <row r="135" spans="6:10" ht="15" hidden="1" x14ac:dyDescent="0.25">
      <c r="F135" s="83" t="s">
        <v>93</v>
      </c>
      <c r="G135" s="80">
        <v>5.7</v>
      </c>
      <c r="H135" s="80">
        <v>1.6</v>
      </c>
      <c r="I135" s="80">
        <v>1.6</v>
      </c>
      <c r="J135" s="85">
        <v>0</v>
      </c>
    </row>
    <row r="136" spans="6:10" ht="15" hidden="1" x14ac:dyDescent="0.25">
      <c r="F136" s="83" t="s">
        <v>93</v>
      </c>
      <c r="G136" s="80">
        <v>5.6</v>
      </c>
      <c r="H136" s="80">
        <v>2</v>
      </c>
      <c r="I136" s="80">
        <v>2</v>
      </c>
      <c r="J136" s="85">
        <v>0</v>
      </c>
    </row>
    <row r="137" spans="6:10" ht="15" hidden="1" x14ac:dyDescent="0.25">
      <c r="F137" s="83" t="s">
        <v>93</v>
      </c>
      <c r="G137" s="80">
        <v>5.5</v>
      </c>
      <c r="H137" s="80">
        <v>2.4</v>
      </c>
      <c r="I137" s="80">
        <v>2.4</v>
      </c>
      <c r="J137" s="85">
        <v>0</v>
      </c>
    </row>
    <row r="138" spans="6:10" ht="15" hidden="1" x14ac:dyDescent="0.25">
      <c r="F138" s="83" t="s">
        <v>93</v>
      </c>
      <c r="G138" s="80">
        <v>5.4</v>
      </c>
      <c r="H138" s="80">
        <v>2.8</v>
      </c>
      <c r="I138" s="80">
        <v>2.8</v>
      </c>
      <c r="J138" s="85">
        <v>0</v>
      </c>
    </row>
    <row r="139" spans="6:10" ht="15" hidden="1" x14ac:dyDescent="0.25">
      <c r="F139" s="83" t="s">
        <v>93</v>
      </c>
      <c r="G139" s="80">
        <v>5.3</v>
      </c>
      <c r="H139" s="80">
        <v>3.2</v>
      </c>
      <c r="I139" s="80">
        <v>3.2</v>
      </c>
      <c r="J139" s="85">
        <v>0</v>
      </c>
    </row>
    <row r="140" spans="6:10" ht="15" hidden="1" x14ac:dyDescent="0.25">
      <c r="F140" s="83" t="s">
        <v>93</v>
      </c>
      <c r="G140" s="80">
        <v>5.2</v>
      </c>
      <c r="H140" s="80">
        <v>3.6</v>
      </c>
      <c r="I140" s="80">
        <v>3.6</v>
      </c>
      <c r="J140" s="85">
        <v>0</v>
      </c>
    </row>
    <row r="141" spans="6:10" ht="15" hidden="1" x14ac:dyDescent="0.25">
      <c r="F141" s="83" t="s">
        <v>93</v>
      </c>
      <c r="G141" s="80">
        <v>5.0999999999999996</v>
      </c>
      <c r="H141" s="80">
        <v>3.9</v>
      </c>
      <c r="I141" s="80">
        <v>3.9</v>
      </c>
      <c r="J141" s="85">
        <v>0</v>
      </c>
    </row>
    <row r="142" spans="6:10" ht="15" hidden="1" x14ac:dyDescent="0.25">
      <c r="F142" s="83" t="s">
        <v>93</v>
      </c>
      <c r="G142" s="80">
        <v>5</v>
      </c>
      <c r="H142" s="80">
        <v>4.2</v>
      </c>
      <c r="I142" s="80">
        <v>4.2</v>
      </c>
      <c r="J142" s="85">
        <v>0</v>
      </c>
    </row>
    <row r="143" spans="6:10" ht="15" hidden="1" x14ac:dyDescent="0.25">
      <c r="F143" s="83" t="s">
        <v>93</v>
      </c>
      <c r="G143" s="80">
        <v>4.9000000000000004</v>
      </c>
      <c r="H143" s="80">
        <v>4.4000000000000004</v>
      </c>
      <c r="I143" s="80">
        <v>4.4000000000000004</v>
      </c>
      <c r="J143" s="85">
        <v>0</v>
      </c>
    </row>
    <row r="144" spans="6:10" ht="15" hidden="1" x14ac:dyDescent="0.25">
      <c r="F144" s="83" t="s">
        <v>93</v>
      </c>
      <c r="G144" s="80">
        <v>4.8</v>
      </c>
      <c r="H144" s="80">
        <v>4.8</v>
      </c>
      <c r="I144" s="80">
        <v>4.8</v>
      </c>
      <c r="J144" s="85">
        <v>0</v>
      </c>
    </row>
    <row r="145" spans="6:10" ht="15" hidden="1" x14ac:dyDescent="0.25">
      <c r="F145" s="83" t="s">
        <v>93</v>
      </c>
      <c r="G145" s="80">
        <v>4.7</v>
      </c>
      <c r="H145" s="80">
        <v>5</v>
      </c>
      <c r="I145" s="80">
        <v>5</v>
      </c>
      <c r="J145" s="85">
        <v>0</v>
      </c>
    </row>
    <row r="146" spans="6:10" ht="15" hidden="1" x14ac:dyDescent="0.25">
      <c r="F146" s="83" t="s">
        <v>93</v>
      </c>
      <c r="G146" s="80">
        <v>4.5999999999999996</v>
      </c>
      <c r="H146" s="80">
        <v>5.4</v>
      </c>
      <c r="I146" s="80">
        <v>5</v>
      </c>
      <c r="J146" s="80">
        <v>0.4</v>
      </c>
    </row>
    <row r="147" spans="6:10" ht="15" hidden="1" x14ac:dyDescent="0.25">
      <c r="F147" s="83" t="s">
        <v>93</v>
      </c>
      <c r="G147" s="80">
        <v>4.5</v>
      </c>
      <c r="H147" s="80">
        <v>5.8</v>
      </c>
      <c r="I147" s="80">
        <v>5</v>
      </c>
      <c r="J147" s="80">
        <v>0.8</v>
      </c>
    </row>
    <row r="148" spans="6:10" ht="15" hidden="1" x14ac:dyDescent="0.25">
      <c r="F148" s="83" t="s">
        <v>93</v>
      </c>
      <c r="G148" s="80">
        <v>4.4000000000000004</v>
      </c>
      <c r="H148" s="80">
        <v>6.2</v>
      </c>
      <c r="I148" s="80">
        <v>5</v>
      </c>
      <c r="J148" s="80">
        <v>1.2</v>
      </c>
    </row>
    <row r="149" spans="6:10" ht="15" hidden="1" x14ac:dyDescent="0.25">
      <c r="F149" s="83" t="s">
        <v>93</v>
      </c>
      <c r="G149" s="80">
        <v>4.3</v>
      </c>
      <c r="H149" s="80">
        <v>6.4</v>
      </c>
      <c r="I149" s="80">
        <v>5</v>
      </c>
      <c r="J149" s="80">
        <v>1.4</v>
      </c>
    </row>
    <row r="150" spans="6:10" ht="15" hidden="1" x14ac:dyDescent="0.25">
      <c r="F150" s="83" t="s">
        <v>93</v>
      </c>
      <c r="G150" s="80">
        <v>4.2</v>
      </c>
      <c r="H150" s="80">
        <v>6.6</v>
      </c>
      <c r="I150" s="80">
        <v>5</v>
      </c>
      <c r="J150" s="80">
        <v>1.6</v>
      </c>
    </row>
    <row r="151" spans="6:10" ht="15" hidden="1" x14ac:dyDescent="0.25">
      <c r="F151" s="83" t="s">
        <v>93</v>
      </c>
      <c r="G151" s="80">
        <v>4.0999999999999996</v>
      </c>
      <c r="H151" s="80">
        <v>7</v>
      </c>
      <c r="I151" s="80">
        <v>5</v>
      </c>
      <c r="J151" s="80">
        <v>2</v>
      </c>
    </row>
    <row r="152" spans="6:10" ht="15" hidden="1" x14ac:dyDescent="0.25">
      <c r="F152" s="83" t="s">
        <v>93</v>
      </c>
      <c r="G152" s="80">
        <v>4</v>
      </c>
      <c r="H152" s="80">
        <v>7.4</v>
      </c>
      <c r="I152" s="80">
        <v>5</v>
      </c>
      <c r="J152" s="80">
        <v>2.4</v>
      </c>
    </row>
    <row r="153" spans="6:10" ht="15" hidden="1" x14ac:dyDescent="0.25">
      <c r="F153" s="83" t="s">
        <v>93</v>
      </c>
      <c r="G153" s="80">
        <v>3.9</v>
      </c>
      <c r="H153" s="80">
        <v>7.8</v>
      </c>
      <c r="I153" s="80">
        <v>5</v>
      </c>
      <c r="J153" s="80">
        <v>2.8</v>
      </c>
    </row>
    <row r="154" spans="6:10" ht="15" hidden="1" x14ac:dyDescent="0.25">
      <c r="F154" s="83" t="s">
        <v>93</v>
      </c>
      <c r="G154" s="80" t="s">
        <v>90</v>
      </c>
      <c r="H154" s="80">
        <v>7.8</v>
      </c>
      <c r="I154" s="80">
        <v>5</v>
      </c>
      <c r="J154" s="80">
        <v>2.8</v>
      </c>
    </row>
    <row r="155" spans="6:10" ht="15" hidden="1" x14ac:dyDescent="0.25">
      <c r="F155" s="83" t="s">
        <v>94</v>
      </c>
      <c r="G155" s="80" t="s">
        <v>83</v>
      </c>
      <c r="H155" s="80">
        <v>0</v>
      </c>
      <c r="I155" s="80">
        <v>0</v>
      </c>
      <c r="J155" s="85">
        <v>0</v>
      </c>
    </row>
    <row r="156" spans="6:10" ht="15" hidden="1" x14ac:dyDescent="0.25">
      <c r="F156" s="83" t="s">
        <v>94</v>
      </c>
      <c r="G156" s="80">
        <v>6.3</v>
      </c>
      <c r="H156" s="80">
        <v>0.2</v>
      </c>
      <c r="I156" s="80">
        <v>0.2</v>
      </c>
      <c r="J156" s="85">
        <v>0</v>
      </c>
    </row>
    <row r="157" spans="6:10" ht="15" hidden="1" x14ac:dyDescent="0.25">
      <c r="F157" s="83" t="s">
        <v>94</v>
      </c>
      <c r="G157" s="80">
        <v>6.2</v>
      </c>
      <c r="H157" s="80">
        <v>0.2</v>
      </c>
      <c r="I157" s="80">
        <v>0.2</v>
      </c>
      <c r="J157" s="85">
        <v>0</v>
      </c>
    </row>
    <row r="158" spans="6:10" ht="15" hidden="1" x14ac:dyDescent="0.25">
      <c r="F158" s="83" t="s">
        <v>94</v>
      </c>
      <c r="G158" s="80">
        <v>6.1</v>
      </c>
      <c r="H158" s="80">
        <v>0.5</v>
      </c>
      <c r="I158" s="80">
        <v>0.5</v>
      </c>
      <c r="J158" s="85">
        <v>0</v>
      </c>
    </row>
    <row r="159" spans="6:10" ht="15" hidden="1" x14ac:dyDescent="0.25">
      <c r="F159" s="83" t="s">
        <v>94</v>
      </c>
      <c r="G159" s="80">
        <v>6</v>
      </c>
      <c r="H159" s="80">
        <v>0.8</v>
      </c>
      <c r="I159" s="80">
        <v>0.8</v>
      </c>
      <c r="J159" s="85">
        <v>0</v>
      </c>
    </row>
    <row r="160" spans="6:10" ht="15" hidden="1" x14ac:dyDescent="0.25">
      <c r="F160" s="83" t="s">
        <v>94</v>
      </c>
      <c r="G160" s="80">
        <v>5.9</v>
      </c>
      <c r="H160" s="80">
        <v>1</v>
      </c>
      <c r="I160" s="80">
        <v>1</v>
      </c>
      <c r="J160" s="85">
        <v>0</v>
      </c>
    </row>
    <row r="161" spans="6:10" ht="15" hidden="1" x14ac:dyDescent="0.25">
      <c r="F161" s="83" t="s">
        <v>94</v>
      </c>
      <c r="G161" s="80">
        <v>5.8</v>
      </c>
      <c r="H161" s="80">
        <v>1.5</v>
      </c>
      <c r="I161" s="80">
        <v>1.5</v>
      </c>
      <c r="J161" s="85">
        <v>0</v>
      </c>
    </row>
    <row r="162" spans="6:10" ht="15" hidden="1" x14ac:dyDescent="0.25">
      <c r="F162" s="83" t="s">
        <v>94</v>
      </c>
      <c r="G162" s="80">
        <v>5.7</v>
      </c>
      <c r="H162" s="80">
        <v>2</v>
      </c>
      <c r="I162" s="80">
        <v>2</v>
      </c>
      <c r="J162" s="85">
        <v>0</v>
      </c>
    </row>
    <row r="163" spans="6:10" ht="15" hidden="1" x14ac:dyDescent="0.25">
      <c r="F163" s="83" t="s">
        <v>94</v>
      </c>
      <c r="G163" s="80">
        <v>5.6</v>
      </c>
      <c r="H163" s="80">
        <v>2.5</v>
      </c>
      <c r="I163" s="80">
        <v>2.5</v>
      </c>
      <c r="J163" s="85">
        <v>0</v>
      </c>
    </row>
    <row r="164" spans="6:10" ht="15" hidden="1" x14ac:dyDescent="0.25">
      <c r="F164" s="83" t="s">
        <v>94</v>
      </c>
      <c r="G164" s="80">
        <v>5.5</v>
      </c>
      <c r="H164" s="80">
        <v>3</v>
      </c>
      <c r="I164" s="80">
        <v>3</v>
      </c>
      <c r="J164" s="85">
        <v>0</v>
      </c>
    </row>
    <row r="165" spans="6:10" ht="15" hidden="1" x14ac:dyDescent="0.25">
      <c r="F165" s="83" t="s">
        <v>94</v>
      </c>
      <c r="G165" s="80">
        <v>5.4</v>
      </c>
      <c r="H165" s="80">
        <v>3.5</v>
      </c>
      <c r="I165" s="80">
        <v>3.5</v>
      </c>
      <c r="J165" s="85">
        <v>0</v>
      </c>
    </row>
    <row r="166" spans="6:10" ht="15" hidden="1" x14ac:dyDescent="0.25">
      <c r="F166" s="83" t="s">
        <v>94</v>
      </c>
      <c r="G166" s="80">
        <v>5.3</v>
      </c>
      <c r="H166" s="80">
        <v>3.8</v>
      </c>
      <c r="I166" s="80">
        <v>3.8</v>
      </c>
      <c r="J166" s="85">
        <v>0</v>
      </c>
    </row>
    <row r="167" spans="6:10" ht="15" hidden="1" x14ac:dyDescent="0.25">
      <c r="F167" s="83" t="s">
        <v>94</v>
      </c>
      <c r="G167" s="80">
        <v>5.2</v>
      </c>
      <c r="H167" s="80">
        <v>4.0999999999999996</v>
      </c>
      <c r="I167" s="80">
        <v>4.0999999999999996</v>
      </c>
      <c r="J167" s="85">
        <v>0</v>
      </c>
    </row>
    <row r="168" spans="6:10" ht="15" hidden="1" x14ac:dyDescent="0.25">
      <c r="F168" s="83" t="s">
        <v>94</v>
      </c>
      <c r="G168" s="80">
        <v>5.0999999999999996</v>
      </c>
      <c r="H168" s="80">
        <v>4.5</v>
      </c>
      <c r="I168" s="80">
        <v>4.5</v>
      </c>
      <c r="J168" s="85">
        <v>0</v>
      </c>
    </row>
    <row r="169" spans="6:10" ht="15" hidden="1" x14ac:dyDescent="0.25">
      <c r="F169" s="83" t="s">
        <v>94</v>
      </c>
      <c r="G169" s="80">
        <v>5</v>
      </c>
      <c r="H169" s="80">
        <v>4.8</v>
      </c>
      <c r="I169" s="80">
        <v>4.8</v>
      </c>
      <c r="J169" s="85">
        <v>0</v>
      </c>
    </row>
    <row r="170" spans="6:10" ht="15" hidden="1" x14ac:dyDescent="0.25">
      <c r="F170" s="83" t="s">
        <v>94</v>
      </c>
      <c r="G170" s="80">
        <v>4.9000000000000004</v>
      </c>
      <c r="H170" s="80">
        <v>5.0999999999999996</v>
      </c>
      <c r="I170" s="80">
        <v>5.0999999999999996</v>
      </c>
      <c r="J170" s="85">
        <v>0</v>
      </c>
    </row>
    <row r="171" spans="6:10" ht="15" hidden="1" x14ac:dyDescent="0.25">
      <c r="F171" s="83" t="s">
        <v>94</v>
      </c>
      <c r="G171" s="80">
        <v>4.8</v>
      </c>
      <c r="H171" s="80">
        <v>5.4</v>
      </c>
      <c r="I171" s="80">
        <v>5.4</v>
      </c>
      <c r="J171" s="85">
        <v>0</v>
      </c>
    </row>
    <row r="172" spans="6:10" ht="15" hidden="1" x14ac:dyDescent="0.25">
      <c r="F172" s="83" t="s">
        <v>94</v>
      </c>
      <c r="G172" s="80">
        <v>4.7</v>
      </c>
      <c r="H172" s="80">
        <v>5.7</v>
      </c>
      <c r="I172" s="80">
        <v>5.7</v>
      </c>
      <c r="J172" s="85">
        <v>0</v>
      </c>
    </row>
    <row r="173" spans="6:10" ht="15" hidden="1" x14ac:dyDescent="0.25">
      <c r="F173" s="83" t="s">
        <v>94</v>
      </c>
      <c r="G173" s="80">
        <v>4.5999999999999996</v>
      </c>
      <c r="H173" s="80">
        <v>5.8</v>
      </c>
      <c r="I173" s="80">
        <v>5.8</v>
      </c>
      <c r="J173" s="85">
        <v>0</v>
      </c>
    </row>
    <row r="174" spans="6:10" ht="15" hidden="1" x14ac:dyDescent="0.25">
      <c r="F174" s="83" t="s">
        <v>94</v>
      </c>
      <c r="G174" s="80">
        <v>4.5</v>
      </c>
      <c r="H174" s="80">
        <v>6</v>
      </c>
      <c r="I174" s="80">
        <v>6</v>
      </c>
      <c r="J174" s="85">
        <v>0</v>
      </c>
    </row>
    <row r="175" spans="6:10" ht="15" hidden="1" x14ac:dyDescent="0.25">
      <c r="F175" s="83" t="s">
        <v>94</v>
      </c>
      <c r="G175" s="80">
        <v>4.4000000000000004</v>
      </c>
      <c r="H175" s="80">
        <v>7</v>
      </c>
      <c r="I175" s="80">
        <v>6</v>
      </c>
      <c r="J175" s="85">
        <v>0</v>
      </c>
    </row>
    <row r="176" spans="6:10" ht="15" hidden="1" x14ac:dyDescent="0.25">
      <c r="F176" s="83" t="s">
        <v>94</v>
      </c>
      <c r="G176" s="80">
        <v>4.3</v>
      </c>
      <c r="H176" s="80">
        <v>7.5</v>
      </c>
      <c r="I176" s="80">
        <v>6</v>
      </c>
      <c r="J176" s="80">
        <v>1.5</v>
      </c>
    </row>
    <row r="177" spans="1:10" ht="15" hidden="1" x14ac:dyDescent="0.25">
      <c r="F177" s="83" t="s">
        <v>94</v>
      </c>
      <c r="G177" s="80">
        <v>4.2</v>
      </c>
      <c r="H177" s="80">
        <v>8</v>
      </c>
      <c r="I177" s="80">
        <v>6</v>
      </c>
      <c r="J177" s="80">
        <v>2</v>
      </c>
    </row>
    <row r="178" spans="1:10" ht="15" hidden="1" x14ac:dyDescent="0.25">
      <c r="F178" s="83" t="s">
        <v>94</v>
      </c>
      <c r="G178" s="80">
        <v>4.0999999999999996</v>
      </c>
      <c r="H178" s="80">
        <v>9</v>
      </c>
      <c r="I178" s="80">
        <v>6</v>
      </c>
      <c r="J178" s="80">
        <v>3</v>
      </c>
    </row>
    <row r="179" spans="1:10" ht="15" hidden="1" x14ac:dyDescent="0.25">
      <c r="F179" s="83" t="s">
        <v>94</v>
      </c>
      <c r="G179" s="80">
        <v>4</v>
      </c>
      <c r="H179" s="80">
        <v>9.8000000000000007</v>
      </c>
      <c r="I179" s="80">
        <v>6</v>
      </c>
      <c r="J179" s="80">
        <v>3.8</v>
      </c>
    </row>
    <row r="180" spans="1:10" ht="15" hidden="1" x14ac:dyDescent="0.25">
      <c r="F180" s="83" t="s">
        <v>94</v>
      </c>
      <c r="G180" s="80">
        <v>3.9</v>
      </c>
      <c r="H180" s="80">
        <v>10.8</v>
      </c>
      <c r="I180" s="80">
        <v>6</v>
      </c>
      <c r="J180" s="80">
        <v>4.8</v>
      </c>
    </row>
    <row r="181" spans="1:10" ht="15" hidden="1" x14ac:dyDescent="0.25">
      <c r="F181" s="83" t="s">
        <v>94</v>
      </c>
      <c r="G181" s="80" t="s">
        <v>90</v>
      </c>
      <c r="H181" s="80">
        <v>10.8</v>
      </c>
      <c r="I181" s="80">
        <v>6</v>
      </c>
      <c r="J181" s="80">
        <v>4.8</v>
      </c>
    </row>
    <row r="182" spans="1:10" hidden="1" x14ac:dyDescent="0.2"/>
    <row r="183" spans="1:10" hidden="1" x14ac:dyDescent="0.2"/>
    <row r="184" spans="1:10" hidden="1" x14ac:dyDescent="0.2"/>
    <row r="185" spans="1:10" hidden="1" x14ac:dyDescent="0.2"/>
    <row r="186" spans="1:10" hidden="1" x14ac:dyDescent="0.2"/>
    <row r="187" spans="1:10" hidden="1" x14ac:dyDescent="0.2"/>
    <row r="188" spans="1:10" hidden="1" x14ac:dyDescent="0.2"/>
    <row r="189" spans="1:10" hidden="1" x14ac:dyDescent="0.2"/>
    <row r="190" spans="1:10" hidden="1" x14ac:dyDescent="0.2"/>
    <row r="191" spans="1:10" hidden="1" x14ac:dyDescent="0.2"/>
    <row r="192" spans="1:10" hidden="1" x14ac:dyDescent="0.2">
      <c r="A192" s="86" t="s">
        <v>250</v>
      </c>
      <c r="B192" s="86" t="s">
        <v>251</v>
      </c>
    </row>
    <row r="193" spans="1:2" hidden="1" x14ac:dyDescent="0.2">
      <c r="A193" s="86"/>
      <c r="B193" s="87" t="s">
        <v>252</v>
      </c>
    </row>
    <row r="194" spans="1:2" hidden="1" x14ac:dyDescent="0.2">
      <c r="A194" s="86"/>
      <c r="B194" s="87" t="s">
        <v>253</v>
      </c>
    </row>
    <row r="195" spans="1:2" hidden="1" x14ac:dyDescent="0.2">
      <c r="A195" s="86"/>
      <c r="B195" s="87"/>
    </row>
    <row r="196" spans="1:2" hidden="1" x14ac:dyDescent="0.2"/>
    <row r="197" spans="1:2" hidden="1" x14ac:dyDescent="0.2"/>
    <row r="198" spans="1:2" hidden="1" x14ac:dyDescent="0.2"/>
    <row r="199" spans="1:2" hidden="1" x14ac:dyDescent="0.2"/>
    <row r="200" spans="1:2" hidden="1" x14ac:dyDescent="0.2"/>
    <row r="201" spans="1:2" hidden="1" x14ac:dyDescent="0.2"/>
    <row r="202" spans="1:2" hidden="1" x14ac:dyDescent="0.2"/>
    <row r="203" spans="1:2" hidden="1" x14ac:dyDescent="0.2"/>
    <row r="204" spans="1:2" hidden="1" x14ac:dyDescent="0.2"/>
    <row r="205" spans="1:2" hidden="1" x14ac:dyDescent="0.2"/>
    <row r="206" spans="1:2" hidden="1" x14ac:dyDescent="0.2"/>
    <row r="207" spans="1:2" hidden="1" x14ac:dyDescent="0.2"/>
    <row r="208" spans="1:2"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spans="49:65" hidden="1" x14ac:dyDescent="0.2"/>
    <row r="226" spans="49:65" hidden="1" x14ac:dyDescent="0.2"/>
    <row r="227" spans="49:65" hidden="1" x14ac:dyDescent="0.2"/>
    <row r="228" spans="49:65" hidden="1" x14ac:dyDescent="0.2"/>
    <row r="229" spans="49:65" hidden="1" x14ac:dyDescent="0.2"/>
    <row r="230" spans="49:65" hidden="1" x14ac:dyDescent="0.2"/>
    <row r="231" spans="49:65" hidden="1" x14ac:dyDescent="0.2"/>
    <row r="232" spans="49:65" hidden="1" x14ac:dyDescent="0.2"/>
    <row r="233" spans="49:65" hidden="1" x14ac:dyDescent="0.2"/>
    <row r="234" spans="49:65" hidden="1" x14ac:dyDescent="0.2"/>
    <row r="235" spans="49:65" hidden="1" x14ac:dyDescent="0.2"/>
    <row r="236" spans="49:65" hidden="1" x14ac:dyDescent="0.2"/>
    <row r="237" spans="49:65" hidden="1" x14ac:dyDescent="0.2"/>
    <row r="238" spans="49:65" hidden="1" x14ac:dyDescent="0.2"/>
    <row r="239" spans="49:65" hidden="1" x14ac:dyDescent="0.2"/>
    <row r="240" spans="49:65" hidden="1" x14ac:dyDescent="0.2">
      <c r="AW240" s="139">
        <f>$A$6</f>
        <v>0</v>
      </c>
      <c r="AX240" s="139">
        <f>$I$6</f>
        <v>0</v>
      </c>
      <c r="AY240" s="139">
        <f>$J$6*100</f>
        <v>0</v>
      </c>
      <c r="AZ240" s="139">
        <f>$K$6</f>
        <v>0</v>
      </c>
      <c r="BA240" s="139">
        <f>$L$6*100</f>
        <v>0</v>
      </c>
      <c r="BB240" s="139">
        <f t="shared" ref="BB240:BB248" si="47">D6</f>
        <v>0</v>
      </c>
      <c r="BC240" s="146" t="e">
        <f>_xlfn.CONCAT(BE251,BE252)</f>
        <v>#N/A</v>
      </c>
      <c r="BE240" t="s">
        <v>200</v>
      </c>
      <c r="BF240" t="s">
        <v>200</v>
      </c>
      <c r="BG240" t="s">
        <v>200</v>
      </c>
      <c r="BH240" t="s">
        <v>200</v>
      </c>
      <c r="BI240" t="s">
        <v>200</v>
      </c>
      <c r="BJ240" t="s">
        <v>200</v>
      </c>
      <c r="BK240" t="s">
        <v>200</v>
      </c>
      <c r="BL240" t="s">
        <v>200</v>
      </c>
      <c r="BM240" t="s">
        <v>200</v>
      </c>
    </row>
    <row r="241" spans="1:65" hidden="1" x14ac:dyDescent="0.2">
      <c r="AW241" s="139">
        <f>$A$7</f>
        <v>0</v>
      </c>
      <c r="AX241" s="139">
        <f>$I$7</f>
        <v>0</v>
      </c>
      <c r="AY241" s="139">
        <f>$J$7*100</f>
        <v>0</v>
      </c>
      <c r="AZ241" s="139">
        <f>$K$7</f>
        <v>0</v>
      </c>
      <c r="BA241" s="139">
        <f>$L$7*100</f>
        <v>0</v>
      </c>
      <c r="BB241" s="139">
        <f t="shared" si="47"/>
        <v>0</v>
      </c>
      <c r="BC241" s="146" t="e">
        <f>_xlfn.CONCAT(BF251,BF252)</f>
        <v>#N/A</v>
      </c>
      <c r="BE241" s="139">
        <f>$A$6</f>
        <v>0</v>
      </c>
      <c r="BF241" s="139">
        <f>$A$7</f>
        <v>0</v>
      </c>
      <c r="BG241" s="139">
        <f>$A$8</f>
        <v>0</v>
      </c>
      <c r="BH241" s="139">
        <f>$A$9</f>
        <v>0</v>
      </c>
      <c r="BI241" s="139">
        <f>$A$10</f>
        <v>0</v>
      </c>
      <c r="BJ241" s="139">
        <f>$A$11</f>
        <v>0</v>
      </c>
      <c r="BK241" s="139">
        <f>$A$12</f>
        <v>0</v>
      </c>
      <c r="BL241" s="139">
        <f>$A$13</f>
        <v>0</v>
      </c>
      <c r="BM241" s="139">
        <f>$A$14</f>
        <v>0</v>
      </c>
    </row>
    <row r="242" spans="1:65" hidden="1" x14ac:dyDescent="0.2">
      <c r="AW242" s="139">
        <f>$A$8</f>
        <v>0</v>
      </c>
      <c r="AX242" s="139">
        <f>$I$8</f>
        <v>0</v>
      </c>
      <c r="AY242" s="139">
        <f>$J$8*100</f>
        <v>0</v>
      </c>
      <c r="AZ242" s="139">
        <f>$K$8</f>
        <v>0</v>
      </c>
      <c r="BA242" s="139">
        <f>$L$8*100</f>
        <v>0</v>
      </c>
      <c r="BB242" s="139">
        <f t="shared" si="47"/>
        <v>0</v>
      </c>
      <c r="BC242" s="146" t="e">
        <f>_xlfn.CONCAT(BG251,BG252)</f>
        <v>#N/A</v>
      </c>
      <c r="BE242" s="139">
        <f>$I$6</f>
        <v>0</v>
      </c>
      <c r="BF242" s="139">
        <f>$I$7</f>
        <v>0</v>
      </c>
      <c r="BG242" s="139">
        <f>$I$8</f>
        <v>0</v>
      </c>
      <c r="BH242" s="139">
        <f>$I$9</f>
        <v>0</v>
      </c>
      <c r="BI242" s="139">
        <f>$I$10</f>
        <v>0</v>
      </c>
      <c r="BJ242" s="139">
        <f>$I$11</f>
        <v>0</v>
      </c>
      <c r="BK242" s="139">
        <f>$I$12</f>
        <v>0</v>
      </c>
      <c r="BL242" s="139">
        <f>$I$13</f>
        <v>0</v>
      </c>
      <c r="BM242" s="139">
        <f>$I$14</f>
        <v>0</v>
      </c>
    </row>
    <row r="243" spans="1:65" hidden="1" x14ac:dyDescent="0.2">
      <c r="AW243" s="139">
        <f>$A$9</f>
        <v>0</v>
      </c>
      <c r="AX243" s="139">
        <f>$I$9</f>
        <v>0</v>
      </c>
      <c r="AY243" s="139">
        <f>$J$9*100</f>
        <v>0</v>
      </c>
      <c r="AZ243" s="139">
        <f>$K$9</f>
        <v>0</v>
      </c>
      <c r="BA243" s="139">
        <f>$L$9*100</f>
        <v>0</v>
      </c>
      <c r="BB243" s="139">
        <f t="shared" si="47"/>
        <v>0</v>
      </c>
      <c r="BC243" s="146" t="e">
        <f>_xlfn.CONCAT(BH251,BH252)</f>
        <v>#N/A</v>
      </c>
      <c r="BE243" s="139">
        <f>AY240</f>
        <v>0</v>
      </c>
      <c r="BF243" s="139">
        <f>$J$7*100</f>
        <v>0</v>
      </c>
      <c r="BG243" s="139">
        <f>$J$8*100</f>
        <v>0</v>
      </c>
      <c r="BH243" s="139">
        <f>$J$9*100</f>
        <v>0</v>
      </c>
      <c r="BI243" s="139">
        <f>$J$10*100</f>
        <v>0</v>
      </c>
      <c r="BJ243" s="139">
        <f>AY245</f>
        <v>0</v>
      </c>
      <c r="BK243" s="139">
        <f>$J$12*100</f>
        <v>0</v>
      </c>
      <c r="BL243" s="139">
        <f>$J$13*100</f>
        <v>0</v>
      </c>
      <c r="BM243" s="139">
        <f>$J$14*100</f>
        <v>0</v>
      </c>
    </row>
    <row r="244" spans="1:65" hidden="1" x14ac:dyDescent="0.2">
      <c r="AW244" s="139">
        <f>$A$10</f>
        <v>0</v>
      </c>
      <c r="AX244" s="139">
        <f>$I$10</f>
        <v>0</v>
      </c>
      <c r="AY244" s="139">
        <f>$J$10*100</f>
        <v>0</v>
      </c>
      <c r="AZ244" s="139">
        <f>$K$10</f>
        <v>0</v>
      </c>
      <c r="BA244" s="139">
        <f>$L$10*100</f>
        <v>0</v>
      </c>
      <c r="BB244" s="139">
        <f t="shared" si="47"/>
        <v>0</v>
      </c>
      <c r="BC244" s="146" t="e">
        <f>_xlfn.CONCAT(BI251,BI252)</f>
        <v>#N/A</v>
      </c>
      <c r="BE244" s="139">
        <f>$K$6</f>
        <v>0</v>
      </c>
      <c r="BF244" s="139">
        <f>$K$7</f>
        <v>0</v>
      </c>
      <c r="BG244" s="139">
        <f>$K$8</f>
        <v>0</v>
      </c>
      <c r="BH244" s="139">
        <f>$K$9</f>
        <v>0</v>
      </c>
      <c r="BI244" s="139">
        <f>$K$10</f>
        <v>0</v>
      </c>
      <c r="BJ244" s="139">
        <f>$K$11</f>
        <v>0</v>
      </c>
      <c r="BK244" s="139">
        <f>$K$12</f>
        <v>0</v>
      </c>
      <c r="BL244" s="139">
        <f>$K$13</f>
        <v>0</v>
      </c>
      <c r="BM244" s="139">
        <f>$K$14</f>
        <v>0</v>
      </c>
    </row>
    <row r="245" spans="1:65" hidden="1" x14ac:dyDescent="0.2">
      <c r="AW245" s="139">
        <f>$A$11</f>
        <v>0</v>
      </c>
      <c r="AX245" s="139">
        <f>$I$11</f>
        <v>0</v>
      </c>
      <c r="AY245" s="139">
        <f>$J$11*100</f>
        <v>0</v>
      </c>
      <c r="AZ245" s="139">
        <f>$K$11</f>
        <v>0</v>
      </c>
      <c r="BA245" s="139">
        <f>$L$11*100</f>
        <v>0</v>
      </c>
      <c r="BB245" s="139">
        <f t="shared" si="47"/>
        <v>0</v>
      </c>
      <c r="BC245" s="146" t="e">
        <f>_xlfn.CONCAT(BJ251,BJ252)</f>
        <v>#N/A</v>
      </c>
      <c r="BE245" s="139">
        <f>$L$6*100</f>
        <v>0</v>
      </c>
      <c r="BF245" s="139">
        <f>$L$7*100</f>
        <v>0</v>
      </c>
      <c r="BG245" s="139">
        <f>$L$8*100</f>
        <v>0</v>
      </c>
      <c r="BH245" s="139">
        <f>$L$9*100</f>
        <v>0</v>
      </c>
      <c r="BI245" s="139">
        <f>$L$10*100</f>
        <v>0</v>
      </c>
      <c r="BJ245" s="139">
        <f>BA245</f>
        <v>0</v>
      </c>
      <c r="BK245" s="139">
        <f>$L$12*100</f>
        <v>0</v>
      </c>
      <c r="BL245" s="139">
        <f>$L$13*100</f>
        <v>0</v>
      </c>
      <c r="BM245" s="139">
        <f>$L$14*100</f>
        <v>0</v>
      </c>
    </row>
    <row r="246" spans="1:65" hidden="1" x14ac:dyDescent="0.2">
      <c r="AW246" s="139">
        <f>$A$12</f>
        <v>0</v>
      </c>
      <c r="AX246" s="139">
        <f>$I$12</f>
        <v>0</v>
      </c>
      <c r="AY246" s="139">
        <f>$J$12*100</f>
        <v>0</v>
      </c>
      <c r="AZ246" s="139">
        <f>$K$12</f>
        <v>0</v>
      </c>
      <c r="BA246" s="139">
        <f>$L$12*100</f>
        <v>0</v>
      </c>
      <c r="BB246" s="139">
        <f t="shared" si="47"/>
        <v>0</v>
      </c>
      <c r="BC246" s="146" t="e">
        <f>_xlfn.CONCAT(BK251,BK252)</f>
        <v>#N/A</v>
      </c>
      <c r="BE246" s="139" t="str">
        <f t="shared" ref="BE246:BM246" si="48">_xlfn.CONCAT(BE242,BE240,BE244)</f>
        <v>0+0</v>
      </c>
      <c r="BF246" s="139" t="str">
        <f t="shared" si="48"/>
        <v>0+0</v>
      </c>
      <c r="BG246" s="139" t="str">
        <f t="shared" si="48"/>
        <v>0+0</v>
      </c>
      <c r="BH246" s="139" t="str">
        <f t="shared" si="48"/>
        <v>0+0</v>
      </c>
      <c r="BI246" s="139" t="str">
        <f t="shared" si="48"/>
        <v>0+0</v>
      </c>
      <c r="BJ246" s="139" t="str">
        <f t="shared" si="48"/>
        <v>0+0</v>
      </c>
      <c r="BK246" s="139" t="str">
        <f t="shared" si="48"/>
        <v>0+0</v>
      </c>
      <c r="BL246" s="139" t="str">
        <f t="shared" si="48"/>
        <v>0+0</v>
      </c>
      <c r="BM246" s="139" t="str">
        <f t="shared" si="48"/>
        <v>0+0</v>
      </c>
    </row>
    <row r="247" spans="1:65" hidden="1" x14ac:dyDescent="0.2">
      <c r="AW247" s="139">
        <f>$A$13</f>
        <v>0</v>
      </c>
      <c r="AX247" s="139">
        <f>$I$13</f>
        <v>0</v>
      </c>
      <c r="AY247" s="139">
        <f>$J$13*100</f>
        <v>0</v>
      </c>
      <c r="AZ247" s="139">
        <f>$K$13</f>
        <v>0</v>
      </c>
      <c r="BA247" s="139">
        <f>$L$13*100</f>
        <v>0</v>
      </c>
      <c r="BB247" s="139">
        <f t="shared" si="47"/>
        <v>0</v>
      </c>
      <c r="BC247" s="146" t="e">
        <f>_xlfn.CONCAT(BL251,BL252)</f>
        <v>#N/A</v>
      </c>
      <c r="BE247" s="139">
        <f>BE243+BE245</f>
        <v>0</v>
      </c>
      <c r="BF247" s="139">
        <f t="shared" ref="BF247:BM247" si="49">BF243+BF245</f>
        <v>0</v>
      </c>
      <c r="BG247" s="139">
        <f t="shared" si="49"/>
        <v>0</v>
      </c>
      <c r="BH247" s="139">
        <f t="shared" si="49"/>
        <v>0</v>
      </c>
      <c r="BI247" s="139">
        <f t="shared" si="49"/>
        <v>0</v>
      </c>
      <c r="BJ247" s="139">
        <f t="shared" si="49"/>
        <v>0</v>
      </c>
      <c r="BK247" s="139">
        <f t="shared" si="49"/>
        <v>0</v>
      </c>
      <c r="BL247" s="139">
        <f t="shared" si="49"/>
        <v>0</v>
      </c>
      <c r="BM247" s="139">
        <f t="shared" si="49"/>
        <v>0</v>
      </c>
    </row>
    <row r="248" spans="1:65" hidden="1" x14ac:dyDescent="0.2">
      <c r="AW248" s="139">
        <f>$A$14</f>
        <v>0</v>
      </c>
      <c r="AX248" s="139">
        <f>$I$14</f>
        <v>0</v>
      </c>
      <c r="AY248" s="139">
        <f>$J$14*100</f>
        <v>0</v>
      </c>
      <c r="AZ248" s="139">
        <f>$K$14</f>
        <v>0</v>
      </c>
      <c r="BA248" s="139">
        <f>$L$14*100</f>
        <v>0</v>
      </c>
      <c r="BB248" s="139">
        <f t="shared" si="47"/>
        <v>0</v>
      </c>
      <c r="BC248" s="146" t="e">
        <f>_xlfn.CONCAT(BM251,BM252)</f>
        <v>#N/A</v>
      </c>
      <c r="BE248" s="139">
        <f>D6</f>
        <v>0</v>
      </c>
      <c r="BF248" s="139">
        <f>D7</f>
        <v>0</v>
      </c>
      <c r="BG248" s="139">
        <f>D8</f>
        <v>0</v>
      </c>
      <c r="BH248" s="139">
        <f>D9</f>
        <v>0</v>
      </c>
      <c r="BI248" s="139">
        <f>D10</f>
        <v>0</v>
      </c>
      <c r="BJ248" s="139">
        <f>D11</f>
        <v>0</v>
      </c>
      <c r="BK248" s="139">
        <f>D12</f>
        <v>0</v>
      </c>
      <c r="BL248" s="139">
        <f>D13</f>
        <v>0</v>
      </c>
      <c r="BM248" s="139">
        <f>D14</f>
        <v>0</v>
      </c>
    </row>
    <row r="249" spans="1:65" hidden="1" x14ac:dyDescent="0.2">
      <c r="BC249" s="88">
        <v>60</v>
      </c>
      <c r="BD249" s="88" t="s">
        <v>154</v>
      </c>
      <c r="BE249" s="146" t="e">
        <f t="shared" ref="BE249:BM249" si="50">_xlfn.CONCAT(BE251,BE252)</f>
        <v>#N/A</v>
      </c>
      <c r="BF249" s="146" t="e">
        <f t="shared" si="50"/>
        <v>#N/A</v>
      </c>
      <c r="BG249" s="146" t="e">
        <f t="shared" si="50"/>
        <v>#N/A</v>
      </c>
      <c r="BH249" s="146" t="e">
        <f t="shared" si="50"/>
        <v>#N/A</v>
      </c>
      <c r="BI249" s="146" t="e">
        <f t="shared" si="50"/>
        <v>#N/A</v>
      </c>
      <c r="BJ249" s="146" t="e">
        <f t="shared" si="50"/>
        <v>#N/A</v>
      </c>
      <c r="BK249" s="146" t="e">
        <f t="shared" si="50"/>
        <v>#N/A</v>
      </c>
      <c r="BL249" s="146" t="e">
        <f t="shared" si="50"/>
        <v>#N/A</v>
      </c>
      <c r="BM249" s="146" t="e">
        <f t="shared" si="50"/>
        <v>#N/A</v>
      </c>
    </row>
    <row r="250" spans="1:65" hidden="1" x14ac:dyDescent="0.2">
      <c r="BC250" s="88">
        <v>70</v>
      </c>
      <c r="BD250" s="88" t="s">
        <v>157</v>
      </c>
      <c r="BE250" s="155" t="str">
        <f>IFERROR(IF(BE267*1&gt;0,"Magnezowe",""),"")</f>
        <v/>
      </c>
      <c r="BF250" s="155" t="str">
        <f t="shared" ref="BF250:BM250" si="51">IFERROR(IF(BF267*1&gt;0,"Magnezowe",""),"")</f>
        <v/>
      </c>
      <c r="BG250" s="155" t="str">
        <f t="shared" si="51"/>
        <v/>
      </c>
      <c r="BH250" s="155" t="str">
        <f t="shared" si="51"/>
        <v/>
      </c>
      <c r="BI250" s="155" t="str">
        <f t="shared" si="51"/>
        <v/>
      </c>
      <c r="BJ250" s="155" t="str">
        <f t="shared" si="51"/>
        <v/>
      </c>
      <c r="BK250" s="155" t="str">
        <f t="shared" si="51"/>
        <v/>
      </c>
      <c r="BL250" s="155" t="str">
        <f t="shared" si="51"/>
        <v/>
      </c>
      <c r="BM250" s="155" t="str">
        <f t="shared" si="51"/>
        <v/>
      </c>
    </row>
    <row r="251" spans="1:65" hidden="1" x14ac:dyDescent="0.2">
      <c r="BC251" s="88">
        <v>80</v>
      </c>
      <c r="BD251" s="88" t="s">
        <v>160</v>
      </c>
      <c r="BE251">
        <v>0</v>
      </c>
      <c r="BF251">
        <v>0</v>
      </c>
      <c r="BG251">
        <v>0</v>
      </c>
      <c r="BH251">
        <v>0</v>
      </c>
      <c r="BI251">
        <v>0</v>
      </c>
      <c r="BJ251">
        <v>0</v>
      </c>
      <c r="BK251">
        <v>0</v>
      </c>
      <c r="BL251">
        <v>0</v>
      </c>
      <c r="BM251">
        <v>0</v>
      </c>
    </row>
    <row r="252" spans="1:65" ht="19.5" hidden="1" thickBot="1" x14ac:dyDescent="0.35">
      <c r="AZ252" s="89"/>
      <c r="BC252" s="88">
        <v>90</v>
      </c>
      <c r="BD252" s="88" t="s">
        <v>164</v>
      </c>
      <c r="BE252" s="156" t="e" cm="1">
        <f t="array" ref="BE252">INDEX(BE254:BE270,MATCH(TRUE,INDEX(ISNUMBER(BE254:BE270),),0))</f>
        <v>#N/A</v>
      </c>
      <c r="BF252" s="156" t="e" cm="1">
        <f t="array" ref="BF252">INDEX(BF254:BF270,MATCH(TRUE,INDEX(ISNUMBER(BF254:BF270),),0))</f>
        <v>#N/A</v>
      </c>
      <c r="BG252" s="156" t="e" cm="1">
        <f t="array" ref="BG252">INDEX(BG254:BG270,MATCH(TRUE,INDEX(ISNUMBER(BG254:BG270),),0))</f>
        <v>#N/A</v>
      </c>
      <c r="BH252" s="156" t="e" cm="1">
        <f t="array" ref="BH252">INDEX(BH254:BH270,MATCH(TRUE,INDEX(ISNUMBER(BH254:BH270),),0))</f>
        <v>#N/A</v>
      </c>
      <c r="BI252" s="156" t="e" cm="1">
        <f t="array" ref="BI252">INDEX(BI254:BI270,MATCH(TRUE,INDEX(ISNUMBER(BI254:BI270),),0))</f>
        <v>#N/A</v>
      </c>
      <c r="BJ252" s="156" t="e" cm="1">
        <f t="array" ref="BJ252">INDEX(BJ254:BJ270,MATCH(TRUE,INDEX(ISNUMBER(BJ254:BJ270),),0))</f>
        <v>#N/A</v>
      </c>
      <c r="BK252" s="156" t="e" cm="1">
        <f t="array" ref="BK252">INDEX(BK254:BK270,MATCH(TRUE,INDEX(ISNUMBER(BK254:BK270),),0))</f>
        <v>#N/A</v>
      </c>
      <c r="BL252" s="156" t="e" cm="1">
        <f t="array" ref="BL252">INDEX(BL254:BL270,MATCH(TRUE,INDEX(ISNUMBER(BL254:BL270),),0))</f>
        <v>#N/A</v>
      </c>
      <c r="BM252" s="156" t="e" cm="1">
        <f t="array" ref="BM252">INDEX(BM254:BM270,MATCH(TRUE,INDEX(ISNUMBER(BM254:BM270),),0))</f>
        <v>#N/A</v>
      </c>
    </row>
    <row r="253" spans="1:65" ht="51" hidden="1" x14ac:dyDescent="0.3">
      <c r="A253" s="34" t="s">
        <v>194</v>
      </c>
      <c r="B253" s="34" t="s">
        <v>128</v>
      </c>
      <c r="C253" s="34" t="s">
        <v>129</v>
      </c>
      <c r="D253" s="34" t="s">
        <v>130</v>
      </c>
      <c r="E253" s="34" t="s">
        <v>107</v>
      </c>
      <c r="F253" s="90" t="s">
        <v>108</v>
      </c>
      <c r="G253" s="90" t="s">
        <v>168</v>
      </c>
      <c r="H253" s="90" t="s">
        <v>109</v>
      </c>
      <c r="I253" s="90" t="s">
        <v>131</v>
      </c>
      <c r="J253" s="90" t="s">
        <v>110</v>
      </c>
      <c r="K253" s="90" t="s">
        <v>111</v>
      </c>
      <c r="L253" s="34" t="s">
        <v>132</v>
      </c>
      <c r="M253" s="34" t="s">
        <v>112</v>
      </c>
      <c r="N253" s="91" t="s">
        <v>196</v>
      </c>
      <c r="O253" s="91" t="s">
        <v>22</v>
      </c>
      <c r="P253" s="91" t="s">
        <v>198</v>
      </c>
      <c r="T253" s="92" t="s">
        <v>199</v>
      </c>
      <c r="AU253" s="93"/>
      <c r="AW253" s="94"/>
      <c r="AX253" s="94"/>
      <c r="AY253" s="95" t="s">
        <v>203</v>
      </c>
      <c r="AZ253" s="96"/>
      <c r="BB253" s="97" t="s">
        <v>192</v>
      </c>
      <c r="BC253" s="97" t="s">
        <v>22</v>
      </c>
      <c r="BD253" s="97" t="s">
        <v>23</v>
      </c>
      <c r="BE253" s="157" t="str">
        <f t="shared" ref="BE253:BM253" si="52">BE246</f>
        <v>0+0</v>
      </c>
      <c r="BF253" s="157" t="str">
        <f t="shared" si="52"/>
        <v>0+0</v>
      </c>
      <c r="BG253" s="157" t="str">
        <f t="shared" si="52"/>
        <v>0+0</v>
      </c>
      <c r="BH253" s="157" t="str">
        <f t="shared" si="52"/>
        <v>0+0</v>
      </c>
      <c r="BI253" s="157" t="str">
        <f t="shared" si="52"/>
        <v>0+0</v>
      </c>
      <c r="BJ253" s="157" t="str">
        <f t="shared" si="52"/>
        <v>0+0</v>
      </c>
      <c r="BK253" s="157" t="str">
        <f t="shared" si="52"/>
        <v>0+0</v>
      </c>
      <c r="BL253" s="157" t="str">
        <f t="shared" si="52"/>
        <v>0+0</v>
      </c>
      <c r="BM253" s="157" t="str">
        <f t="shared" si="52"/>
        <v>0+0</v>
      </c>
    </row>
    <row r="254" spans="1:65" ht="26.25" hidden="1" thickBot="1" x14ac:dyDescent="0.35">
      <c r="A254" s="99" t="s">
        <v>133</v>
      </c>
      <c r="B254" s="100" t="s">
        <v>182</v>
      </c>
      <c r="C254" s="99" t="s">
        <v>134</v>
      </c>
      <c r="D254" s="99" t="s">
        <v>127</v>
      </c>
      <c r="E254" s="99" t="s">
        <v>25</v>
      </c>
      <c r="F254" s="101">
        <v>80</v>
      </c>
      <c r="G254" s="87">
        <v>0</v>
      </c>
      <c r="H254" s="101">
        <v>0.98</v>
      </c>
      <c r="I254" s="101">
        <v>0.9</v>
      </c>
      <c r="J254" s="101">
        <v>1</v>
      </c>
      <c r="K254" s="101">
        <v>1.5</v>
      </c>
      <c r="L254" s="99" t="s">
        <v>126</v>
      </c>
      <c r="M254" s="102" t="s">
        <v>135</v>
      </c>
      <c r="N254" s="159" t="str">
        <f>IF(A255="",A254,A254)</f>
        <v>Z przerobu skał wapiennych</v>
      </c>
      <c r="O254" s="159" t="str">
        <f>IF(B255="",B254,B254)</f>
        <v>01</v>
      </c>
      <c r="P254" s="159" t="str">
        <f>IF(C255="",C254,C254)</f>
        <v>Tlenek wapnia</v>
      </c>
      <c r="R254" s="160" t="str">
        <f>IF(I6="","",I6)</f>
        <v/>
      </c>
      <c r="S254" s="161" t="str">
        <f>IF(J6="","",J6*100)</f>
        <v/>
      </c>
      <c r="T254" s="160">
        <f t="shared" ref="T254:AQ254" si="53">K6</f>
        <v>0</v>
      </c>
      <c r="U254" s="160">
        <f t="shared" si="53"/>
        <v>0</v>
      </c>
      <c r="V254" s="160">
        <f t="shared" si="53"/>
        <v>0</v>
      </c>
      <c r="W254" s="160">
        <f t="shared" si="53"/>
        <v>0</v>
      </c>
      <c r="X254" s="160" t="str">
        <f t="shared" si="53"/>
        <v/>
      </c>
      <c r="Y254" s="160" t="str">
        <f t="shared" si="53"/>
        <v/>
      </c>
      <c r="Z254" s="160" t="str">
        <f t="shared" si="53"/>
        <v/>
      </c>
      <c r="AA254" s="160" t="str">
        <f t="shared" si="53"/>
        <v/>
      </c>
      <c r="AB254" s="160" t="str">
        <f t="shared" si="53"/>
        <v/>
      </c>
      <c r="AC254" s="160" t="str">
        <f t="shared" si="53"/>
        <v/>
      </c>
      <c r="AD254" s="160">
        <f t="shared" si="53"/>
        <v>0</v>
      </c>
      <c r="AE254" s="160" t="str">
        <f t="shared" si="53"/>
        <v/>
      </c>
      <c r="AF254" s="160">
        <f t="shared" si="53"/>
        <v>0</v>
      </c>
      <c r="AG254" s="160" t="str">
        <f t="shared" si="53"/>
        <v/>
      </c>
      <c r="AH254" s="160">
        <f t="shared" si="53"/>
        <v>0</v>
      </c>
      <c r="AI254" s="160" t="str">
        <f t="shared" si="53"/>
        <v/>
      </c>
      <c r="AJ254" s="160">
        <f t="shared" si="53"/>
        <v>0</v>
      </c>
      <c r="AK254" s="160" t="str">
        <f t="shared" si="53"/>
        <v/>
      </c>
      <c r="AL254" s="160">
        <f t="shared" si="53"/>
        <v>0</v>
      </c>
      <c r="AM254" s="160" t="str">
        <f t="shared" si="53"/>
        <v/>
      </c>
      <c r="AN254" s="160">
        <f t="shared" si="53"/>
        <v>0</v>
      </c>
      <c r="AO254" s="160" t="str">
        <f t="shared" si="53"/>
        <v/>
      </c>
      <c r="AP254" s="160">
        <f t="shared" si="53"/>
        <v>0</v>
      </c>
      <c r="AQ254" s="160" t="str">
        <f t="shared" si="53"/>
        <v/>
      </c>
      <c r="AR254" s="160" t="str">
        <f>IF(K6="","",K6)</f>
        <v/>
      </c>
      <c r="AS254" s="162" t="str">
        <f>IF(L6="","",L6*100)</f>
        <v/>
      </c>
      <c r="AU254" s="139" t="b">
        <f t="shared" ref="AU254:AU274" si="54">IF(AND(R254=$BC$253,$S$254&gt;=BC254),IF($S$254-BC254&lt;10,1,0))</f>
        <v>0</v>
      </c>
      <c r="AW254" s="94">
        <v>8</v>
      </c>
      <c r="AX254" s="94"/>
      <c r="AY254" s="156" cm="1">
        <f t="array" ref="AY254">INDEX(AW255:AW272,MATCH(TRUE,INDEX(ISNUMBER(AW255:AW272),),0))</f>
        <v>3</v>
      </c>
      <c r="AZ254" s="89"/>
      <c r="BA254" s="103" t="s">
        <v>201</v>
      </c>
      <c r="BB254" s="104">
        <v>1</v>
      </c>
      <c r="BC254" s="105">
        <v>80</v>
      </c>
      <c r="BD254" s="105"/>
      <c r="BE254" s="158" t="str">
        <f t="shared" ref="BE254:BH254" si="55">IF(AND(BE$253=$BA254,BE$247&gt;=$BC254),$BB254,IF(AND(BE$246="CaO+MgO",BE$267="",BE$247&gt;=$BC254),$BB254,""))</f>
        <v/>
      </c>
      <c r="BF254" s="158" t="str">
        <f t="shared" si="55"/>
        <v/>
      </c>
      <c r="BG254" s="158" t="str">
        <f t="shared" si="55"/>
        <v/>
      </c>
      <c r="BH254" s="158" t="str">
        <f t="shared" si="55"/>
        <v/>
      </c>
      <c r="BI254" s="158" t="str">
        <f>IF(AND(BI$253=$BA254,BI$247&gt;=$BC254),$BB254,IF(AND(BI$246="CaO+MgO",BI$267="",BI$247&gt;=$BC254),$BB254,""))</f>
        <v/>
      </c>
      <c r="BJ254" s="158" t="str">
        <f t="shared" ref="BJ254:BM254" si="56">IF(AND(BJ$253=$BA254,BJ$247&gt;=$BC254),$BB254,IF(AND(BJ$246="CaO+MgO",BJ$267="",BJ$247&gt;=$BC254),$BB254,""))</f>
        <v/>
      </c>
      <c r="BK254" s="158" t="str">
        <f t="shared" si="56"/>
        <v/>
      </c>
      <c r="BL254" s="158" t="str">
        <f t="shared" si="56"/>
        <v/>
      </c>
      <c r="BM254" s="158" t="str">
        <f t="shared" si="56"/>
        <v/>
      </c>
    </row>
    <row r="255" spans="1:65" ht="25.5" hidden="1" x14ac:dyDescent="0.3">
      <c r="A255" s="99"/>
      <c r="B255" s="100" t="s">
        <v>183</v>
      </c>
      <c r="C255" s="99" t="s">
        <v>134</v>
      </c>
      <c r="D255" s="99" t="s">
        <v>127</v>
      </c>
      <c r="E255" s="99" t="s">
        <v>25</v>
      </c>
      <c r="F255" s="101">
        <v>70</v>
      </c>
      <c r="G255" s="87">
        <v>0</v>
      </c>
      <c r="H255" s="101">
        <v>0.98</v>
      </c>
      <c r="I255" s="101">
        <v>0.9</v>
      </c>
      <c r="J255" s="101">
        <v>1</v>
      </c>
      <c r="K255" s="101">
        <v>1.5</v>
      </c>
      <c r="L255" s="99" t="s">
        <v>126</v>
      </c>
      <c r="M255" s="102" t="s">
        <v>135</v>
      </c>
      <c r="N255" s="159" t="str">
        <f t="shared" ref="N255:N266" si="57">IF(A255="",N254,A255)</f>
        <v>Z przerobu skał wapiennych</v>
      </c>
      <c r="O255" s="159" t="str">
        <f t="shared" ref="O255:O266" si="58">IF(B255="",O254,B255)</f>
        <v>02</v>
      </c>
      <c r="P255" s="159" t="str">
        <f t="shared" ref="P255:P266" si="59">IF(C255="",P254,C255)</f>
        <v>Tlenek wapnia</v>
      </c>
      <c r="R255" s="160" t="str">
        <f t="shared" ref="R255" si="60">IF(I7="","",I7)</f>
        <v/>
      </c>
      <c r="S255" s="161" t="str">
        <f t="shared" ref="S255:S264" si="61">IF(J7="","",J7*100)</f>
        <v/>
      </c>
      <c r="T255" s="160">
        <f t="shared" ref="T255:T264" si="62">K7</f>
        <v>0</v>
      </c>
      <c r="U255" s="160">
        <f t="shared" ref="U255:U264" si="63">L7</f>
        <v>0</v>
      </c>
      <c r="V255" s="160">
        <f t="shared" ref="V255:V264" si="64">M7</f>
        <v>0</v>
      </c>
      <c r="W255" s="160">
        <f t="shared" ref="W255:W264" si="65">N7</f>
        <v>0</v>
      </c>
      <c r="X255" s="160" t="str">
        <f t="shared" ref="X255:X264" si="66">O7</f>
        <v/>
      </c>
      <c r="Y255" s="160" t="str">
        <f t="shared" ref="Y255:Y264" si="67">P7</f>
        <v/>
      </c>
      <c r="Z255" s="160" t="str">
        <f t="shared" ref="Z255:Z264" si="68">Q7</f>
        <v/>
      </c>
      <c r="AA255" s="160" t="str">
        <f t="shared" ref="AA255:AA264" si="69">R7</f>
        <v/>
      </c>
      <c r="AB255" s="160" t="str">
        <f t="shared" ref="AB255:AB264" si="70">S7</f>
        <v/>
      </c>
      <c r="AC255" s="160" t="str">
        <f t="shared" ref="AC255:AC264" si="71">T7</f>
        <v/>
      </c>
      <c r="AD255" s="160">
        <f t="shared" ref="AD255:AD264" si="72">U7</f>
        <v>0</v>
      </c>
      <c r="AE255" s="160" t="str">
        <f t="shared" ref="AE255:AE264" si="73">V7</f>
        <v/>
      </c>
      <c r="AF255" s="160">
        <f t="shared" ref="AF255:AF264" si="74">W7</f>
        <v>0</v>
      </c>
      <c r="AG255" s="160" t="str">
        <f t="shared" ref="AG255:AG264" si="75">X7</f>
        <v/>
      </c>
      <c r="AH255" s="160">
        <f t="shared" ref="AH255:AH264" si="76">Y7</f>
        <v>0</v>
      </c>
      <c r="AI255" s="160" t="str">
        <f t="shared" ref="AI255:AI264" si="77">Z7</f>
        <v/>
      </c>
      <c r="AJ255" s="160">
        <f t="shared" ref="AJ255:AJ264" si="78">AA7</f>
        <v>0</v>
      </c>
      <c r="AK255" s="160" t="str">
        <f t="shared" ref="AK255:AK264" si="79">AB7</f>
        <v/>
      </c>
      <c r="AL255" s="160">
        <f t="shared" ref="AL255:AL264" si="80">AC7</f>
        <v>0</v>
      </c>
      <c r="AM255" s="160" t="str">
        <f t="shared" ref="AM255:AM264" si="81">AD7</f>
        <v/>
      </c>
      <c r="AN255" s="160">
        <f t="shared" ref="AN255:AN264" si="82">AE7</f>
        <v>0</v>
      </c>
      <c r="AO255" s="160" t="str">
        <f t="shared" ref="AO255:AO264" si="83">AF7</f>
        <v/>
      </c>
      <c r="AP255" s="160">
        <f t="shared" ref="AP255:AP264" si="84">AG7</f>
        <v>0</v>
      </c>
      <c r="AQ255" s="160" t="str">
        <f t="shared" ref="AQ255:AQ264" si="85">AH7</f>
        <v/>
      </c>
      <c r="AR255" s="160" t="str">
        <f t="shared" ref="AR255" si="86">IF(K7="","",K7)</f>
        <v/>
      </c>
      <c r="AS255" s="162" t="str">
        <f t="shared" ref="AS255:AS264" si="87">IF(L7="","",L7*100)</f>
        <v/>
      </c>
      <c r="AU255" s="139" t="b">
        <f t="shared" si="54"/>
        <v>0</v>
      </c>
      <c r="AW255" s="94">
        <v>3</v>
      </c>
      <c r="AX255" s="94"/>
      <c r="AY255" s="94"/>
      <c r="AZ255" s="94"/>
      <c r="BA255" s="103" t="s">
        <v>201</v>
      </c>
      <c r="BB255" s="104">
        <v>2</v>
      </c>
      <c r="BC255" s="105">
        <v>70</v>
      </c>
      <c r="BD255" s="105"/>
      <c r="BE255" s="158" t="str">
        <f t="shared" ref="BE255:BG255" si="88">IF(AND(BE$253=$BA255,BE$247&lt;$BC254,BE$247&gt;=$BC255),$BB255,IF(AND(BE$246="CaO+MgO",BE$267="",BE$247&lt;$BC254,BE$247&gt;=$BC255),$BB255,""))</f>
        <v/>
      </c>
      <c r="BF255" s="158" t="str">
        <f t="shared" si="88"/>
        <v/>
      </c>
      <c r="BG255" s="158" t="str">
        <f t="shared" si="88"/>
        <v/>
      </c>
      <c r="BH255" s="158" t="str">
        <f>IF(AND(BH$253=$BA255,BH$247&lt;$BC254,BH$247&gt;=$BC255),$BB255,IF(AND(BH$246="CaO+MgO",BH$267="",BH$247&lt;$BC254,BH$247&gt;=$BC255),$BB255,""))</f>
        <v/>
      </c>
      <c r="BI255" s="158" t="str">
        <f t="shared" ref="BI255:BM255" si="89">IF(AND(BI$253=$BA255,BI$247&lt;$BC254,BI$247&gt;=$BC255),$BB255,IF(AND(BI$246="CaO+MgO",BI$267="",BI$247&lt;$BC254,BI$247&gt;=$BC255),$BB255,""))</f>
        <v/>
      </c>
      <c r="BJ255" s="158" t="str">
        <f t="shared" si="89"/>
        <v/>
      </c>
      <c r="BK255" s="158" t="str">
        <f t="shared" si="89"/>
        <v/>
      </c>
      <c r="BL255" s="158" t="str">
        <f t="shared" si="89"/>
        <v/>
      </c>
      <c r="BM255" s="158" t="str">
        <f t="shared" si="89"/>
        <v/>
      </c>
    </row>
    <row r="256" spans="1:65" ht="25.5" hidden="1" x14ac:dyDescent="0.3">
      <c r="A256" s="99"/>
      <c r="B256" s="100" t="s">
        <v>184</v>
      </c>
      <c r="C256" s="99" t="s">
        <v>134</v>
      </c>
      <c r="D256" s="99" t="s">
        <v>127</v>
      </c>
      <c r="E256" s="99" t="s">
        <v>25</v>
      </c>
      <c r="F256" s="101">
        <v>60</v>
      </c>
      <c r="G256" s="87">
        <v>0</v>
      </c>
      <c r="H256" s="101">
        <v>0.98</v>
      </c>
      <c r="I256" s="101">
        <v>0.9</v>
      </c>
      <c r="J256" s="101">
        <v>1</v>
      </c>
      <c r="K256" s="101">
        <v>1.5</v>
      </c>
      <c r="L256" s="99" t="s">
        <v>126</v>
      </c>
      <c r="M256" s="102" t="s">
        <v>135</v>
      </c>
      <c r="N256" s="159" t="str">
        <f t="shared" si="57"/>
        <v>Z przerobu skał wapiennych</v>
      </c>
      <c r="O256" s="159" t="str">
        <f t="shared" si="58"/>
        <v>03</v>
      </c>
      <c r="P256" s="159" t="str">
        <f t="shared" si="59"/>
        <v>Tlenek wapnia</v>
      </c>
      <c r="R256" s="160" t="str">
        <f t="shared" ref="R256" si="90">IF(I8="","",I8)</f>
        <v/>
      </c>
      <c r="S256" s="161" t="str">
        <f t="shared" si="61"/>
        <v/>
      </c>
      <c r="T256" s="160">
        <f t="shared" si="62"/>
        <v>0</v>
      </c>
      <c r="U256" s="160">
        <f t="shared" si="63"/>
        <v>0</v>
      </c>
      <c r="V256" s="160">
        <f t="shared" si="64"/>
        <v>0</v>
      </c>
      <c r="W256" s="160">
        <f t="shared" si="65"/>
        <v>0</v>
      </c>
      <c r="X256" s="160" t="str">
        <f t="shared" si="66"/>
        <v/>
      </c>
      <c r="Y256" s="160" t="str">
        <f t="shared" si="67"/>
        <v/>
      </c>
      <c r="Z256" s="160" t="str">
        <f t="shared" si="68"/>
        <v/>
      </c>
      <c r="AA256" s="160" t="str">
        <f t="shared" si="69"/>
        <v/>
      </c>
      <c r="AB256" s="160" t="str">
        <f t="shared" si="70"/>
        <v/>
      </c>
      <c r="AC256" s="160" t="str">
        <f t="shared" si="71"/>
        <v/>
      </c>
      <c r="AD256" s="160">
        <f t="shared" si="72"/>
        <v>0</v>
      </c>
      <c r="AE256" s="160" t="str">
        <f t="shared" si="73"/>
        <v/>
      </c>
      <c r="AF256" s="160">
        <f t="shared" si="74"/>
        <v>0</v>
      </c>
      <c r="AG256" s="160" t="str">
        <f t="shared" si="75"/>
        <v/>
      </c>
      <c r="AH256" s="160">
        <f t="shared" si="76"/>
        <v>0</v>
      </c>
      <c r="AI256" s="160" t="str">
        <f t="shared" si="77"/>
        <v/>
      </c>
      <c r="AJ256" s="160">
        <f t="shared" si="78"/>
        <v>0</v>
      </c>
      <c r="AK256" s="160" t="str">
        <f t="shared" si="79"/>
        <v/>
      </c>
      <c r="AL256" s="160">
        <f t="shared" si="80"/>
        <v>0</v>
      </c>
      <c r="AM256" s="160" t="str">
        <f t="shared" si="81"/>
        <v/>
      </c>
      <c r="AN256" s="160">
        <f t="shared" si="82"/>
        <v>0</v>
      </c>
      <c r="AO256" s="160" t="str">
        <f t="shared" si="83"/>
        <v/>
      </c>
      <c r="AP256" s="160">
        <f t="shared" si="84"/>
        <v>0</v>
      </c>
      <c r="AQ256" s="160" t="str">
        <f t="shared" si="85"/>
        <v/>
      </c>
      <c r="AR256" s="160" t="str">
        <f t="shared" ref="AR256" si="91">IF(K8="","",K8)</f>
        <v/>
      </c>
      <c r="AS256" s="162" t="str">
        <f t="shared" si="87"/>
        <v/>
      </c>
      <c r="AU256" s="139" t="b">
        <f t="shared" si="54"/>
        <v>0</v>
      </c>
      <c r="AW256" s="94">
        <v>1</v>
      </c>
      <c r="AX256" s="94"/>
      <c r="AY256" s="94"/>
      <c r="AZ256" s="94"/>
      <c r="BA256" s="103" t="s">
        <v>201</v>
      </c>
      <c r="BB256" s="104">
        <v>3</v>
      </c>
      <c r="BC256" s="105">
        <v>60</v>
      </c>
      <c r="BD256" s="105"/>
      <c r="BE256" s="158" t="str">
        <f t="shared" ref="BE256:BE258" si="92">IF(AND(BE$253=$BA256,BE$247&lt;$BC255,BE$247&gt;=$BC256),$BB256,IF(AND(BE$246="CaO+MgO",BE$267="",BE$247&lt;$BC255,BE$247&gt;=$BC256),$BB256,""))</f>
        <v/>
      </c>
      <c r="BF256" s="158" t="str">
        <f t="shared" ref="BF256:BF258" si="93">IF(AND(BF$253=$BA256,BF$247&lt;$BC255,BF$247&gt;=$BC256),$BB256,IF(AND(BF$246="CaO+MgO",BF$267="",BF$247&lt;$BC255,BF$247&gt;=$BC256),$BB256,""))</f>
        <v/>
      </c>
      <c r="BG256" s="158" t="str">
        <f t="shared" ref="BG256:BG258" si="94">IF(AND(BG$253=$BA256,BG$247&lt;$BC255,BG$247&gt;=$BC256),$BB256,IF(AND(BG$246="CaO+MgO",BG$267="",BG$247&lt;$BC255,BG$247&gt;=$BC256),$BB256,""))</f>
        <v/>
      </c>
      <c r="BH256" s="158" t="str">
        <f t="shared" ref="BH256:BH258" si="95">IF(AND(BH$253=$BA256,BH$247&lt;$BC255,BH$247&gt;=$BC256),$BB256,IF(AND(BH$246="CaO+MgO",BH$267="",BH$247&lt;$BC255,BH$247&gt;=$BC256),$BB256,""))</f>
        <v/>
      </c>
      <c r="BI256" s="158" t="str">
        <f t="shared" ref="BI256:BI258" si="96">IF(AND(BI$253=$BA256,BI$247&lt;$BC255,BI$247&gt;=$BC256),$BB256,IF(AND(BI$246="CaO+MgO",BI$267="",BI$247&lt;$BC255,BI$247&gt;=$BC256),$BB256,""))</f>
        <v/>
      </c>
      <c r="BJ256" s="158" t="str">
        <f t="shared" ref="BJ256:BJ258" si="97">IF(AND(BJ$253=$BA256,BJ$247&lt;$BC255,BJ$247&gt;=$BC256),$BB256,IF(AND(BJ$246="CaO+MgO",BJ$267="",BJ$247&lt;$BC255,BJ$247&gt;=$BC256),$BB256,""))</f>
        <v/>
      </c>
      <c r="BK256" s="158" t="str">
        <f t="shared" ref="BK256:BK258" si="98">IF(AND(BK$253=$BA256,BK$247&lt;$BC255,BK$247&gt;=$BC256),$BB256,IF(AND(BK$246="CaO+MgO",BK$267="",BK$247&lt;$BC255,BK$247&gt;=$BC256),$BB256,""))</f>
        <v/>
      </c>
      <c r="BL256" s="158" t="str">
        <f t="shared" ref="BL256:BL258" si="99">IF(AND(BL$253=$BA256,BL$247&lt;$BC255,BL$247&gt;=$BC256),$BB256,IF(AND(BL$246="CaO+MgO",BL$267="",BL$247&lt;$BC255,BL$247&gt;=$BC256),$BB256,""))</f>
        <v/>
      </c>
      <c r="BM256" s="158" t="str">
        <f t="shared" ref="BM256:BM258" si="100">IF(AND(BM$253=$BA256,BM$247&lt;$BC255,BM$247&gt;=$BC256),$BB256,IF(AND(BM$246="CaO+MgO",BM$267="",BM$247&lt;$BC255,BM$247&gt;=$BC256),$BB256,""))</f>
        <v/>
      </c>
    </row>
    <row r="257" spans="1:65" ht="38.25" hidden="1" x14ac:dyDescent="0.3">
      <c r="A257" s="99"/>
      <c r="B257" s="100" t="s">
        <v>185</v>
      </c>
      <c r="C257" s="99" t="s">
        <v>136</v>
      </c>
      <c r="D257" s="99" t="s">
        <v>137</v>
      </c>
      <c r="E257" s="99" t="s">
        <v>21</v>
      </c>
      <c r="F257" s="101">
        <v>50</v>
      </c>
      <c r="G257" s="87">
        <v>0</v>
      </c>
      <c r="H257" s="101">
        <v>0.9</v>
      </c>
      <c r="I257" s="101">
        <v>0.75</v>
      </c>
      <c r="J257" s="101">
        <v>2</v>
      </c>
      <c r="K257" s="101">
        <v>1.2</v>
      </c>
      <c r="L257" s="99" t="s">
        <v>118</v>
      </c>
      <c r="M257" s="102" t="s">
        <v>138</v>
      </c>
      <c r="N257" s="159" t="str">
        <f t="shared" si="57"/>
        <v>Z przerobu skał wapiennych</v>
      </c>
      <c r="O257" s="159" t="str">
        <f t="shared" si="58"/>
        <v>04</v>
      </c>
      <c r="P257" s="159" t="str">
        <f t="shared" si="59"/>
        <v>Tlenek + węglan wapnia</v>
      </c>
      <c r="R257" s="160" t="str">
        <f t="shared" ref="R257" si="101">IF(I9="","",I9)</f>
        <v/>
      </c>
      <c r="S257" s="161" t="str">
        <f t="shared" si="61"/>
        <v/>
      </c>
      <c r="T257" s="160">
        <f t="shared" si="62"/>
        <v>0</v>
      </c>
      <c r="U257" s="160">
        <f t="shared" si="63"/>
        <v>0</v>
      </c>
      <c r="V257" s="160">
        <f t="shared" si="64"/>
        <v>0</v>
      </c>
      <c r="W257" s="160">
        <f t="shared" si="65"/>
        <v>0</v>
      </c>
      <c r="X257" s="160" t="str">
        <f t="shared" si="66"/>
        <v/>
      </c>
      <c r="Y257" s="160" t="str">
        <f t="shared" si="67"/>
        <v/>
      </c>
      <c r="Z257" s="160" t="str">
        <f t="shared" si="68"/>
        <v/>
      </c>
      <c r="AA257" s="160" t="str">
        <f t="shared" si="69"/>
        <v/>
      </c>
      <c r="AB257" s="160" t="str">
        <f t="shared" si="70"/>
        <v/>
      </c>
      <c r="AC257" s="160" t="str">
        <f t="shared" si="71"/>
        <v/>
      </c>
      <c r="AD257" s="160">
        <f t="shared" si="72"/>
        <v>0</v>
      </c>
      <c r="AE257" s="160" t="str">
        <f t="shared" si="73"/>
        <v/>
      </c>
      <c r="AF257" s="160">
        <f t="shared" si="74"/>
        <v>0</v>
      </c>
      <c r="AG257" s="160" t="str">
        <f t="shared" si="75"/>
        <v/>
      </c>
      <c r="AH257" s="160">
        <f t="shared" si="76"/>
        <v>0</v>
      </c>
      <c r="AI257" s="160" t="str">
        <f t="shared" si="77"/>
        <v/>
      </c>
      <c r="AJ257" s="160">
        <f t="shared" si="78"/>
        <v>0</v>
      </c>
      <c r="AK257" s="160" t="str">
        <f t="shared" si="79"/>
        <v/>
      </c>
      <c r="AL257" s="160">
        <f t="shared" si="80"/>
        <v>0</v>
      </c>
      <c r="AM257" s="160" t="str">
        <f t="shared" si="81"/>
        <v/>
      </c>
      <c r="AN257" s="160">
        <f t="shared" si="82"/>
        <v>0</v>
      </c>
      <c r="AO257" s="160" t="str">
        <f t="shared" si="83"/>
        <v/>
      </c>
      <c r="AP257" s="160">
        <f t="shared" si="84"/>
        <v>0</v>
      </c>
      <c r="AQ257" s="160" t="str">
        <f t="shared" si="85"/>
        <v/>
      </c>
      <c r="AR257" s="160" t="str">
        <f t="shared" ref="AR257" si="102">IF(K9="","",K9)</f>
        <v/>
      </c>
      <c r="AS257" s="162" t="str">
        <f t="shared" si="87"/>
        <v/>
      </c>
      <c r="AU257" s="139" t="b">
        <f t="shared" si="54"/>
        <v>0</v>
      </c>
      <c r="AW257" s="94">
        <v>2</v>
      </c>
      <c r="AX257" s="94"/>
      <c r="AY257" s="94"/>
      <c r="AZ257" s="94"/>
      <c r="BA257" s="103" t="s">
        <v>201</v>
      </c>
      <c r="BB257" s="104">
        <v>4</v>
      </c>
      <c r="BC257" s="105">
        <v>50</v>
      </c>
      <c r="BD257" s="105"/>
      <c r="BE257" s="158" t="str">
        <f t="shared" si="92"/>
        <v/>
      </c>
      <c r="BF257" s="158" t="str">
        <f t="shared" si="93"/>
        <v/>
      </c>
      <c r="BG257" s="158" t="str">
        <f t="shared" si="94"/>
        <v/>
      </c>
      <c r="BH257" s="158" t="str">
        <f t="shared" si="95"/>
        <v/>
      </c>
      <c r="BI257" s="158" t="str">
        <f t="shared" si="96"/>
        <v/>
      </c>
      <c r="BJ257" s="158" t="str">
        <f t="shared" si="97"/>
        <v/>
      </c>
      <c r="BK257" s="158" t="str">
        <f t="shared" si="98"/>
        <v/>
      </c>
      <c r="BL257" s="158" t="str">
        <f t="shared" si="99"/>
        <v/>
      </c>
      <c r="BM257" s="158" t="str">
        <f t="shared" si="100"/>
        <v/>
      </c>
    </row>
    <row r="258" spans="1:65" ht="38.25" hidden="1" x14ac:dyDescent="0.3">
      <c r="A258" s="99"/>
      <c r="B258" s="100" t="s">
        <v>186</v>
      </c>
      <c r="C258" s="99" t="s">
        <v>139</v>
      </c>
      <c r="D258" s="99" t="s">
        <v>95</v>
      </c>
      <c r="E258" s="99" t="s">
        <v>21</v>
      </c>
      <c r="F258" s="101">
        <v>50</v>
      </c>
      <c r="G258" s="87">
        <v>0</v>
      </c>
      <c r="H258" s="101">
        <v>0.73</v>
      </c>
      <c r="I258" s="101">
        <v>0.65</v>
      </c>
      <c r="J258" s="101">
        <v>3</v>
      </c>
      <c r="K258" s="101">
        <v>0.9</v>
      </c>
      <c r="L258" s="99" t="s">
        <v>119</v>
      </c>
      <c r="M258" s="102" t="s">
        <v>140</v>
      </c>
      <c r="N258" s="159" t="str">
        <f t="shared" si="57"/>
        <v>Z przerobu skał wapiennych</v>
      </c>
      <c r="O258" s="159" t="str">
        <f t="shared" si="58"/>
        <v>05</v>
      </c>
      <c r="P258" s="159" t="str">
        <f t="shared" si="59"/>
        <v>Węglan wapnia</v>
      </c>
      <c r="R258" s="160" t="str">
        <f t="shared" ref="R258" si="103">IF(I10="","",I10)</f>
        <v/>
      </c>
      <c r="S258" s="161" t="str">
        <f t="shared" si="61"/>
        <v/>
      </c>
      <c r="T258" s="160">
        <f t="shared" si="62"/>
        <v>0</v>
      </c>
      <c r="U258" s="160">
        <f t="shared" si="63"/>
        <v>0</v>
      </c>
      <c r="V258" s="160">
        <f t="shared" si="64"/>
        <v>0</v>
      </c>
      <c r="W258" s="160">
        <f t="shared" si="65"/>
        <v>0</v>
      </c>
      <c r="X258" s="160" t="str">
        <f t="shared" si="66"/>
        <v/>
      </c>
      <c r="Y258" s="160" t="str">
        <f t="shared" si="67"/>
        <v/>
      </c>
      <c r="Z258" s="160" t="str">
        <f t="shared" si="68"/>
        <v/>
      </c>
      <c r="AA258" s="160" t="str">
        <f t="shared" si="69"/>
        <v/>
      </c>
      <c r="AB258" s="160" t="str">
        <f t="shared" si="70"/>
        <v/>
      </c>
      <c r="AC258" s="160" t="str">
        <f t="shared" si="71"/>
        <v/>
      </c>
      <c r="AD258" s="160">
        <f t="shared" si="72"/>
        <v>0</v>
      </c>
      <c r="AE258" s="160" t="str">
        <f t="shared" si="73"/>
        <v/>
      </c>
      <c r="AF258" s="160">
        <f t="shared" si="74"/>
        <v>0</v>
      </c>
      <c r="AG258" s="160" t="str">
        <f t="shared" si="75"/>
        <v/>
      </c>
      <c r="AH258" s="160">
        <f t="shared" si="76"/>
        <v>0</v>
      </c>
      <c r="AI258" s="160" t="str">
        <f t="shared" si="77"/>
        <v/>
      </c>
      <c r="AJ258" s="160">
        <f t="shared" si="78"/>
        <v>0</v>
      </c>
      <c r="AK258" s="160" t="str">
        <f t="shared" si="79"/>
        <v/>
      </c>
      <c r="AL258" s="160">
        <f t="shared" si="80"/>
        <v>0</v>
      </c>
      <c r="AM258" s="160" t="str">
        <f t="shared" si="81"/>
        <v/>
      </c>
      <c r="AN258" s="160">
        <f t="shared" si="82"/>
        <v>0</v>
      </c>
      <c r="AO258" s="160" t="str">
        <f t="shared" si="83"/>
        <v/>
      </c>
      <c r="AP258" s="160">
        <f t="shared" si="84"/>
        <v>0</v>
      </c>
      <c r="AQ258" s="160" t="str">
        <f t="shared" si="85"/>
        <v/>
      </c>
      <c r="AR258" s="160" t="str">
        <f t="shared" ref="AR258" si="104">IF(K10="","",K10)</f>
        <v/>
      </c>
      <c r="AS258" s="162" t="str">
        <f t="shared" si="87"/>
        <v/>
      </c>
      <c r="AU258" s="139" t="b">
        <f t="shared" si="54"/>
        <v>0</v>
      </c>
      <c r="AW258" s="94"/>
      <c r="AX258" s="94"/>
      <c r="AY258" s="106"/>
      <c r="AZ258" s="94"/>
      <c r="BA258" s="107" t="s">
        <v>201</v>
      </c>
      <c r="BB258" s="104">
        <v>5</v>
      </c>
      <c r="BC258" s="108">
        <v>40</v>
      </c>
      <c r="BD258" s="108"/>
      <c r="BE258" s="158" t="str">
        <f t="shared" si="92"/>
        <v/>
      </c>
      <c r="BF258" s="158" t="str">
        <f t="shared" si="93"/>
        <v/>
      </c>
      <c r="BG258" s="158" t="str">
        <f t="shared" si="94"/>
        <v/>
      </c>
      <c r="BH258" s="158" t="str">
        <f t="shared" si="95"/>
        <v/>
      </c>
      <c r="BI258" s="158" t="str">
        <f t="shared" si="96"/>
        <v/>
      </c>
      <c r="BJ258" s="158" t="str">
        <f t="shared" si="97"/>
        <v/>
      </c>
      <c r="BK258" s="158" t="str">
        <f t="shared" si="98"/>
        <v/>
      </c>
      <c r="BL258" s="158" t="str">
        <f t="shared" si="99"/>
        <v/>
      </c>
      <c r="BM258" s="158" t="str">
        <f t="shared" si="100"/>
        <v/>
      </c>
    </row>
    <row r="259" spans="1:65" ht="38.25" hidden="1" x14ac:dyDescent="0.3">
      <c r="A259" s="99" t="s">
        <v>73</v>
      </c>
      <c r="B259" s="100" t="s">
        <v>187</v>
      </c>
      <c r="C259" s="99" t="s">
        <v>141</v>
      </c>
      <c r="D259" s="99" t="s">
        <v>142</v>
      </c>
      <c r="E259" s="99" t="s">
        <v>25</v>
      </c>
      <c r="F259" s="101">
        <v>35</v>
      </c>
      <c r="G259" s="87">
        <v>0</v>
      </c>
      <c r="H259" s="101">
        <v>0.75</v>
      </c>
      <c r="I259" s="101">
        <v>0.78</v>
      </c>
      <c r="J259" s="101">
        <v>2.5</v>
      </c>
      <c r="K259" s="101">
        <v>1</v>
      </c>
      <c r="L259" s="99" t="s">
        <v>117</v>
      </c>
      <c r="M259" s="102" t="s">
        <v>143</v>
      </c>
      <c r="N259" s="159" t="str">
        <f t="shared" si="57"/>
        <v>Z produkcji ubocznej</v>
      </c>
      <c r="O259" s="159" t="str">
        <f t="shared" si="58"/>
        <v>06</v>
      </c>
      <c r="P259" s="159" t="str">
        <f t="shared" si="59"/>
        <v>Suche</v>
      </c>
      <c r="R259" s="160" t="str">
        <f t="shared" ref="R259" si="105">IF(I11="","",I11)</f>
        <v/>
      </c>
      <c r="S259" s="161" t="str">
        <f t="shared" si="61"/>
        <v/>
      </c>
      <c r="T259" s="160">
        <f t="shared" si="62"/>
        <v>0</v>
      </c>
      <c r="U259" s="160">
        <f t="shared" si="63"/>
        <v>0</v>
      </c>
      <c r="V259" s="160">
        <f t="shared" si="64"/>
        <v>0</v>
      </c>
      <c r="W259" s="160">
        <f t="shared" si="65"/>
        <v>0</v>
      </c>
      <c r="X259" s="160" t="str">
        <f t="shared" si="66"/>
        <v/>
      </c>
      <c r="Y259" s="160" t="str">
        <f t="shared" si="67"/>
        <v/>
      </c>
      <c r="Z259" s="160" t="str">
        <f t="shared" si="68"/>
        <v/>
      </c>
      <c r="AA259" s="160" t="str">
        <f t="shared" si="69"/>
        <v/>
      </c>
      <c r="AB259" s="160" t="str">
        <f t="shared" si="70"/>
        <v/>
      </c>
      <c r="AC259" s="160" t="str">
        <f t="shared" si="71"/>
        <v/>
      </c>
      <c r="AD259" s="160">
        <f t="shared" si="72"/>
        <v>0</v>
      </c>
      <c r="AE259" s="160" t="str">
        <f t="shared" si="73"/>
        <v/>
      </c>
      <c r="AF259" s="160">
        <f t="shared" si="74"/>
        <v>0</v>
      </c>
      <c r="AG259" s="160" t="str">
        <f t="shared" si="75"/>
        <v/>
      </c>
      <c r="AH259" s="160">
        <f t="shared" si="76"/>
        <v>0</v>
      </c>
      <c r="AI259" s="160" t="str">
        <f t="shared" si="77"/>
        <v/>
      </c>
      <c r="AJ259" s="160">
        <f t="shared" si="78"/>
        <v>0</v>
      </c>
      <c r="AK259" s="160" t="str">
        <f t="shared" si="79"/>
        <v/>
      </c>
      <c r="AL259" s="160">
        <f t="shared" si="80"/>
        <v>0</v>
      </c>
      <c r="AM259" s="160" t="str">
        <f t="shared" si="81"/>
        <v/>
      </c>
      <c r="AN259" s="160">
        <f t="shared" si="82"/>
        <v>0</v>
      </c>
      <c r="AO259" s="160" t="str">
        <f t="shared" si="83"/>
        <v/>
      </c>
      <c r="AP259" s="160">
        <f t="shared" si="84"/>
        <v>0</v>
      </c>
      <c r="AQ259" s="160" t="str">
        <f t="shared" si="85"/>
        <v/>
      </c>
      <c r="AR259" s="160" t="str">
        <f t="shared" ref="AR259" si="106">IF(K11="","",K11)</f>
        <v/>
      </c>
      <c r="AS259" s="162" t="str">
        <f t="shared" si="87"/>
        <v/>
      </c>
      <c r="AU259" s="139" t="b">
        <f t="shared" si="54"/>
        <v>0</v>
      </c>
      <c r="AW259" s="94">
        <v>6</v>
      </c>
      <c r="AX259" s="94"/>
      <c r="AY259" s="94"/>
      <c r="AZ259" s="109" t="s">
        <v>204</v>
      </c>
      <c r="BA259" s="107" t="s">
        <v>201</v>
      </c>
      <c r="BB259" s="104">
        <v>6</v>
      </c>
      <c r="BC259" s="108">
        <v>35</v>
      </c>
      <c r="BD259" s="108"/>
      <c r="BE259" s="158" t="str">
        <f t="shared" ref="BE259:BI259" si="107">IF(BE$248&lt;&gt;$AZ$259,"",IF(AND(BE$253=$BA259,BE$247&lt;$BC258,BE$247&gt;=$BC259),$BB259,IF(AND(BE$246="CaO+MgO",BE$267=""),IF(AND(BE$247&lt;$BC258,BE$247&gt;=$BC259),$BB259,""))))</f>
        <v/>
      </c>
      <c r="BF259" s="158" t="str">
        <f t="shared" si="107"/>
        <v/>
      </c>
      <c r="BG259" s="158" t="str">
        <f t="shared" si="107"/>
        <v/>
      </c>
      <c r="BH259" s="158" t="str">
        <f t="shared" si="107"/>
        <v/>
      </c>
      <c r="BI259" s="158" t="str">
        <f t="shared" si="107"/>
        <v/>
      </c>
      <c r="BJ259" s="158" t="str">
        <f>IF(BJ$248&lt;&gt;$AZ$259,"",IF(AND(BJ$253=$BA259,BJ$247&lt;$BC258,BJ$247&gt;=$BC259),$BB259,IF(AND(BJ$246="CaO+MgO",BJ$267=""),IF(AND(BJ$247&lt;$BC258,BJ$247&gt;=$BC259),$BB259,""))))</f>
        <v/>
      </c>
      <c r="BK259" s="158" t="str">
        <f t="shared" ref="BK259:BM259" si="108">IF(BK$248&lt;&gt;$AZ$259,"",IF(AND(BK$253=$BA259,BK$247&lt;$BC258,BK$247&gt;=$BC259),$BB259,IF(AND(BK$246="CaO+MgO",BK$267=""),IF(AND(BK$247&lt;$BC258,BK$247&gt;=$BC259),$BB259,""))))</f>
        <v/>
      </c>
      <c r="BL259" s="158" t="str">
        <f t="shared" si="108"/>
        <v/>
      </c>
      <c r="BM259" s="158" t="str">
        <f t="shared" si="108"/>
        <v/>
      </c>
    </row>
    <row r="260" spans="1:65" ht="38.25" hidden="1" x14ac:dyDescent="0.3">
      <c r="A260" s="99"/>
      <c r="B260" s="100" t="s">
        <v>188</v>
      </c>
      <c r="C260" s="99" t="s">
        <v>144</v>
      </c>
      <c r="D260" s="99" t="s">
        <v>145</v>
      </c>
      <c r="E260" s="99" t="s">
        <v>25</v>
      </c>
      <c r="F260" s="101">
        <v>30</v>
      </c>
      <c r="G260" s="87">
        <v>0</v>
      </c>
      <c r="H260" s="101">
        <v>0.7</v>
      </c>
      <c r="I260" s="101">
        <v>0.75</v>
      </c>
      <c r="J260" s="101">
        <v>2.5</v>
      </c>
      <c r="K260" s="101">
        <v>1</v>
      </c>
      <c r="L260" s="99" t="s">
        <v>117</v>
      </c>
      <c r="M260" s="102" t="s">
        <v>125</v>
      </c>
      <c r="N260" s="159" t="str">
        <f t="shared" si="57"/>
        <v>Z produkcji ubocznej</v>
      </c>
      <c r="O260" s="159" t="str">
        <f t="shared" si="58"/>
        <v>07</v>
      </c>
      <c r="P260" s="159" t="str">
        <f t="shared" si="59"/>
        <v>Podsuszone</v>
      </c>
      <c r="R260" s="160" t="str">
        <f t="shared" ref="R260" si="109">IF(I12="","",I12)</f>
        <v/>
      </c>
      <c r="S260" s="161" t="str">
        <f t="shared" si="61"/>
        <v/>
      </c>
      <c r="T260" s="160">
        <f t="shared" si="62"/>
        <v>0</v>
      </c>
      <c r="U260" s="160">
        <f t="shared" si="63"/>
        <v>0</v>
      </c>
      <c r="V260" s="160">
        <f t="shared" si="64"/>
        <v>0</v>
      </c>
      <c r="W260" s="160">
        <f t="shared" si="65"/>
        <v>0</v>
      </c>
      <c r="X260" s="160" t="str">
        <f t="shared" si="66"/>
        <v/>
      </c>
      <c r="Y260" s="160" t="str">
        <f t="shared" si="67"/>
        <v/>
      </c>
      <c r="Z260" s="160" t="str">
        <f t="shared" si="68"/>
        <v/>
      </c>
      <c r="AA260" s="160" t="str">
        <f t="shared" si="69"/>
        <v/>
      </c>
      <c r="AB260" s="160" t="str">
        <f t="shared" si="70"/>
        <v/>
      </c>
      <c r="AC260" s="160" t="str">
        <f t="shared" si="71"/>
        <v/>
      </c>
      <c r="AD260" s="160">
        <f t="shared" si="72"/>
        <v>0</v>
      </c>
      <c r="AE260" s="160" t="str">
        <f t="shared" si="73"/>
        <v/>
      </c>
      <c r="AF260" s="160">
        <f t="shared" si="74"/>
        <v>0</v>
      </c>
      <c r="AG260" s="160" t="str">
        <f t="shared" si="75"/>
        <v/>
      </c>
      <c r="AH260" s="160">
        <f t="shared" si="76"/>
        <v>0</v>
      </c>
      <c r="AI260" s="160" t="str">
        <f t="shared" si="77"/>
        <v/>
      </c>
      <c r="AJ260" s="160">
        <f t="shared" si="78"/>
        <v>0</v>
      </c>
      <c r="AK260" s="160" t="str">
        <f t="shared" si="79"/>
        <v/>
      </c>
      <c r="AL260" s="160">
        <f t="shared" si="80"/>
        <v>0</v>
      </c>
      <c r="AM260" s="160" t="str">
        <f t="shared" si="81"/>
        <v/>
      </c>
      <c r="AN260" s="160">
        <f t="shared" si="82"/>
        <v>0</v>
      </c>
      <c r="AO260" s="160" t="str">
        <f t="shared" si="83"/>
        <v/>
      </c>
      <c r="AP260" s="160">
        <f t="shared" si="84"/>
        <v>0</v>
      </c>
      <c r="AQ260" s="160" t="str">
        <f t="shared" si="85"/>
        <v/>
      </c>
      <c r="AR260" s="160" t="str">
        <f t="shared" ref="AR260" si="110">IF(K12="","",K12)</f>
        <v/>
      </c>
      <c r="AS260" s="162" t="str">
        <f t="shared" si="87"/>
        <v/>
      </c>
      <c r="AU260" s="139" t="b">
        <f t="shared" si="54"/>
        <v>0</v>
      </c>
      <c r="AW260" s="94"/>
      <c r="AX260" s="94"/>
      <c r="AY260" s="94"/>
      <c r="AZ260" s="109" t="s">
        <v>204</v>
      </c>
      <c r="BA260" s="107" t="s">
        <v>201</v>
      </c>
      <c r="BB260" s="104">
        <v>7</v>
      </c>
      <c r="BC260" s="108">
        <v>30</v>
      </c>
      <c r="BD260" s="108"/>
      <c r="BE260" s="158" t="str">
        <f t="shared" ref="BE260:BE262" si="111">IF(BE$248&lt;&gt;$AZ$259,"",IF(AND(BE$253=$BA260,BE$247&lt;$BC259,BE$247&gt;=$BC260),$BB260,IF(AND(BE$246="CaO+MgO",BE$267=""),IF(AND(BE$247&lt;$BC259,BE$247&gt;=$BC260),$BB260,""))))</f>
        <v/>
      </c>
      <c r="BF260" s="158" t="str">
        <f t="shared" ref="BF260:BF262" si="112">IF(BF$248&lt;&gt;$AZ$259,"",IF(AND(BF$253=$BA260,BF$247&lt;$BC259,BF$247&gt;=$BC260),$BB260,IF(AND(BF$246="CaO+MgO",BF$267=""),IF(AND(BF$247&lt;$BC259,BF$247&gt;=$BC260),$BB260,""))))</f>
        <v/>
      </c>
      <c r="BG260" s="158" t="str">
        <f t="shared" ref="BG260:BG262" si="113">IF(BG$248&lt;&gt;$AZ$259,"",IF(AND(BG$253=$BA260,BG$247&lt;$BC259,BG$247&gt;=$BC260),$BB260,IF(AND(BG$246="CaO+MgO",BG$267=""),IF(AND(BG$247&lt;$BC259,BG$247&gt;=$BC260),$BB260,""))))</f>
        <v/>
      </c>
      <c r="BH260" s="158" t="str">
        <f t="shared" ref="BH260:BH262" si="114">IF(BH$248&lt;&gt;$AZ$259,"",IF(AND(BH$253=$BA260,BH$247&lt;$BC259,BH$247&gt;=$BC260),$BB260,IF(AND(BH$246="CaO+MgO",BH$267=""),IF(AND(BH$247&lt;$BC259,BH$247&gt;=$BC260),$BB260,""))))</f>
        <v/>
      </c>
      <c r="BI260" s="158" t="str">
        <f t="shared" ref="BI260:BI262" si="115">IF(BI$248&lt;&gt;$AZ$259,"",IF(AND(BI$253=$BA260,BI$247&lt;$BC259,BI$247&gt;=$BC260),$BB260,IF(AND(BI$246="CaO+MgO",BI$267=""),IF(AND(BI$247&lt;$BC259,BI$247&gt;=$BC260),$BB260,""))))</f>
        <v/>
      </c>
      <c r="BJ260" s="158" t="str">
        <f t="shared" ref="BJ260:BJ262" si="116">IF(BJ$248&lt;&gt;$AZ$259,"",IF(AND(BJ$253=$BA260,BJ$247&lt;$BC259,BJ$247&gt;=$BC260),$BB260,IF(AND(BJ$246="CaO+MgO",BJ$267=""),IF(AND(BJ$247&lt;$BC259,BJ$247&gt;=$BC260),$BB260,""))))</f>
        <v/>
      </c>
      <c r="BK260" s="158" t="str">
        <f t="shared" ref="BK260:BK262" si="117">IF(BK$248&lt;&gt;$AZ$259,"",IF(AND(BK$253=$BA260,BK$247&lt;$BC259,BK$247&gt;=$BC260),$BB260,IF(AND(BK$246="CaO+MgO",BK$267=""),IF(AND(BK$247&lt;$BC259,BK$247&gt;=$BC260),$BB260,""))))</f>
        <v/>
      </c>
      <c r="BL260" s="158" t="str">
        <f t="shared" ref="BL260:BL262" si="118">IF(BL$248&lt;&gt;$AZ$259,"",IF(AND(BL$253=$BA260,BL$247&lt;$BC259,BL$247&gt;=$BC260),$BB260,IF(AND(BL$246="CaO+MgO",BL$267=""),IF(AND(BL$247&lt;$BC259,BL$247&gt;=$BC260),$BB260,""))))</f>
        <v/>
      </c>
      <c r="BM260" s="158" t="str">
        <f t="shared" ref="BM260:BM262" si="119">IF(BM$248&lt;&gt;$AZ$259,"",IF(AND(BM$253=$BA260,BM$247&lt;$BC259,BM$247&gt;=$BC260),$BB260,IF(AND(BM$246="CaO+MgO",BM$267=""),IF(AND(BM$247&lt;$BC259,BM$247&gt;=$BC260),$BB260,""))))</f>
        <v/>
      </c>
    </row>
    <row r="261" spans="1:65" ht="38.25" hidden="1" x14ac:dyDescent="0.3">
      <c r="A261" s="99"/>
      <c r="B261" s="100" t="s">
        <v>189</v>
      </c>
      <c r="C261" s="99" t="s">
        <v>146</v>
      </c>
      <c r="D261" s="99" t="s">
        <v>147</v>
      </c>
      <c r="E261" s="99" t="s">
        <v>25</v>
      </c>
      <c r="F261" s="101">
        <v>25</v>
      </c>
      <c r="G261" s="87">
        <v>0</v>
      </c>
      <c r="H261" s="101">
        <v>0.65</v>
      </c>
      <c r="I261" s="101">
        <v>0.7</v>
      </c>
      <c r="J261" s="101">
        <v>2.5</v>
      </c>
      <c r="K261" s="101">
        <v>0.9</v>
      </c>
      <c r="L261" s="99" t="s">
        <v>148</v>
      </c>
      <c r="M261" s="102" t="s">
        <v>149</v>
      </c>
      <c r="N261" s="159" t="str">
        <f t="shared" si="57"/>
        <v>Z produkcji ubocznej</v>
      </c>
      <c r="O261" s="159" t="str">
        <f t="shared" si="58"/>
        <v>08</v>
      </c>
      <c r="P261" s="159" t="str">
        <f t="shared" si="59"/>
        <v>Odsączone</v>
      </c>
      <c r="R261" s="160" t="str">
        <f t="shared" ref="R261" si="120">IF(I13="","",I13)</f>
        <v/>
      </c>
      <c r="S261" s="161" t="str">
        <f t="shared" si="61"/>
        <v/>
      </c>
      <c r="T261" s="160">
        <f t="shared" si="62"/>
        <v>0</v>
      </c>
      <c r="U261" s="160">
        <f t="shared" si="63"/>
        <v>0</v>
      </c>
      <c r="V261" s="160">
        <f t="shared" si="64"/>
        <v>0</v>
      </c>
      <c r="W261" s="160">
        <f t="shared" si="65"/>
        <v>0</v>
      </c>
      <c r="X261" s="160" t="str">
        <f t="shared" si="66"/>
        <v/>
      </c>
      <c r="Y261" s="160" t="str">
        <f t="shared" si="67"/>
        <v/>
      </c>
      <c r="Z261" s="160" t="str">
        <f t="shared" si="68"/>
        <v/>
      </c>
      <c r="AA261" s="160" t="str">
        <f t="shared" si="69"/>
        <v/>
      </c>
      <c r="AB261" s="160" t="str">
        <f t="shared" si="70"/>
        <v/>
      </c>
      <c r="AC261" s="160" t="str">
        <f t="shared" si="71"/>
        <v/>
      </c>
      <c r="AD261" s="160">
        <f t="shared" si="72"/>
        <v>0</v>
      </c>
      <c r="AE261" s="160" t="str">
        <f t="shared" si="73"/>
        <v/>
      </c>
      <c r="AF261" s="160">
        <f t="shared" si="74"/>
        <v>0</v>
      </c>
      <c r="AG261" s="160" t="str">
        <f t="shared" si="75"/>
        <v/>
      </c>
      <c r="AH261" s="160">
        <f t="shared" si="76"/>
        <v>0</v>
      </c>
      <c r="AI261" s="160" t="str">
        <f t="shared" si="77"/>
        <v/>
      </c>
      <c r="AJ261" s="160">
        <f t="shared" si="78"/>
        <v>0</v>
      </c>
      <c r="AK261" s="160" t="str">
        <f t="shared" si="79"/>
        <v/>
      </c>
      <c r="AL261" s="160">
        <f t="shared" si="80"/>
        <v>0</v>
      </c>
      <c r="AM261" s="160" t="str">
        <f t="shared" si="81"/>
        <v/>
      </c>
      <c r="AN261" s="160">
        <f t="shared" si="82"/>
        <v>0</v>
      </c>
      <c r="AO261" s="160" t="str">
        <f t="shared" si="83"/>
        <v/>
      </c>
      <c r="AP261" s="160">
        <f t="shared" si="84"/>
        <v>0</v>
      </c>
      <c r="AQ261" s="160" t="str">
        <f t="shared" si="85"/>
        <v/>
      </c>
      <c r="AR261" s="160" t="str">
        <f t="shared" ref="AR261" si="121">IF(K13="","",K13)</f>
        <v/>
      </c>
      <c r="AS261" s="162" t="str">
        <f t="shared" si="87"/>
        <v/>
      </c>
      <c r="AU261" s="139" t="b">
        <f t="shared" si="54"/>
        <v>0</v>
      </c>
      <c r="AW261" s="94">
        <v>2</v>
      </c>
      <c r="AX261" s="94"/>
      <c r="AY261" s="94"/>
      <c r="AZ261" s="109" t="s">
        <v>204</v>
      </c>
      <c r="BA261" s="107" t="s">
        <v>201</v>
      </c>
      <c r="BB261" s="104">
        <v>8</v>
      </c>
      <c r="BC261" s="108">
        <v>25</v>
      </c>
      <c r="BD261" s="108"/>
      <c r="BE261" s="158" t="str">
        <f t="shared" si="111"/>
        <v/>
      </c>
      <c r="BF261" s="158" t="str">
        <f t="shared" si="112"/>
        <v/>
      </c>
      <c r="BG261" s="158" t="str">
        <f t="shared" si="113"/>
        <v/>
      </c>
      <c r="BH261" s="158" t="str">
        <f t="shared" si="114"/>
        <v/>
      </c>
      <c r="BI261" s="158" t="str">
        <f t="shared" si="115"/>
        <v/>
      </c>
      <c r="BJ261" s="158" t="str">
        <f t="shared" si="116"/>
        <v/>
      </c>
      <c r="BK261" s="158" t="str">
        <f t="shared" si="117"/>
        <v/>
      </c>
      <c r="BL261" s="158" t="str">
        <f t="shared" si="118"/>
        <v/>
      </c>
      <c r="BM261" s="158" t="str">
        <f t="shared" si="119"/>
        <v/>
      </c>
    </row>
    <row r="262" spans="1:65" ht="38.25" hidden="1" x14ac:dyDescent="0.3">
      <c r="A262" s="99"/>
      <c r="B262" s="100" t="s">
        <v>190</v>
      </c>
      <c r="C262" s="99" t="s">
        <v>150</v>
      </c>
      <c r="D262" s="99" t="s">
        <v>151</v>
      </c>
      <c r="E262" s="99" t="s">
        <v>25</v>
      </c>
      <c r="F262" s="101">
        <v>20</v>
      </c>
      <c r="G262" s="87">
        <v>0</v>
      </c>
      <c r="H262" s="101">
        <v>0.6</v>
      </c>
      <c r="I262" s="101">
        <v>0.65</v>
      </c>
      <c r="J262" s="101">
        <v>2.5</v>
      </c>
      <c r="K262" s="101">
        <v>0.8</v>
      </c>
      <c r="L262" s="99" t="s">
        <v>119</v>
      </c>
      <c r="M262" s="102" t="s">
        <v>152</v>
      </c>
      <c r="N262" s="159" t="str">
        <f t="shared" si="57"/>
        <v>Z produkcji ubocznej</v>
      </c>
      <c r="O262" s="159" t="str">
        <f t="shared" si="58"/>
        <v>09</v>
      </c>
      <c r="P262" s="159" t="str">
        <f t="shared" si="59"/>
        <v>Mokre</v>
      </c>
      <c r="R262" s="160" t="str">
        <f t="shared" ref="R262" si="122">IF(I14="","",I14)</f>
        <v/>
      </c>
      <c r="S262" s="161" t="str">
        <f t="shared" si="61"/>
        <v/>
      </c>
      <c r="T262" s="160">
        <f t="shared" si="62"/>
        <v>0</v>
      </c>
      <c r="U262" s="160">
        <f t="shared" si="63"/>
        <v>0</v>
      </c>
      <c r="V262" s="160">
        <f t="shared" si="64"/>
        <v>0</v>
      </c>
      <c r="W262" s="160">
        <f t="shared" si="65"/>
        <v>0</v>
      </c>
      <c r="X262" s="160" t="str">
        <f t="shared" si="66"/>
        <v/>
      </c>
      <c r="Y262" s="160" t="str">
        <f t="shared" si="67"/>
        <v/>
      </c>
      <c r="Z262" s="160" t="str">
        <f t="shared" si="68"/>
        <v/>
      </c>
      <c r="AA262" s="160" t="str">
        <f t="shared" si="69"/>
        <v/>
      </c>
      <c r="AB262" s="160" t="str">
        <f t="shared" si="70"/>
        <v/>
      </c>
      <c r="AC262" s="160" t="str">
        <f t="shared" si="71"/>
        <v/>
      </c>
      <c r="AD262" s="160">
        <f t="shared" si="72"/>
        <v>0</v>
      </c>
      <c r="AE262" s="160" t="str">
        <f t="shared" si="73"/>
        <v/>
      </c>
      <c r="AF262" s="160">
        <f t="shared" si="74"/>
        <v>0</v>
      </c>
      <c r="AG262" s="160" t="str">
        <f t="shared" si="75"/>
        <v/>
      </c>
      <c r="AH262" s="160">
        <f t="shared" si="76"/>
        <v>0</v>
      </c>
      <c r="AI262" s="160" t="str">
        <f t="shared" si="77"/>
        <v/>
      </c>
      <c r="AJ262" s="160">
        <f t="shared" si="78"/>
        <v>0</v>
      </c>
      <c r="AK262" s="160" t="str">
        <f t="shared" si="79"/>
        <v/>
      </c>
      <c r="AL262" s="160">
        <f t="shared" si="80"/>
        <v>0</v>
      </c>
      <c r="AM262" s="160" t="str">
        <f t="shared" si="81"/>
        <v/>
      </c>
      <c r="AN262" s="160">
        <f t="shared" si="82"/>
        <v>0</v>
      </c>
      <c r="AO262" s="160" t="str">
        <f t="shared" si="83"/>
        <v/>
      </c>
      <c r="AP262" s="160">
        <f t="shared" si="84"/>
        <v>0</v>
      </c>
      <c r="AQ262" s="160" t="str">
        <f t="shared" si="85"/>
        <v/>
      </c>
      <c r="AR262" s="160" t="str">
        <f t="shared" ref="AR262" si="123">IF(K14="","",K14)</f>
        <v/>
      </c>
      <c r="AS262" s="162" t="str">
        <f t="shared" si="87"/>
        <v/>
      </c>
      <c r="AU262" s="139" t="b">
        <f t="shared" si="54"/>
        <v>0</v>
      </c>
      <c r="AW262" s="94">
        <v>21</v>
      </c>
      <c r="AX262" s="94"/>
      <c r="AY262" s="94"/>
      <c r="AZ262" s="109" t="s">
        <v>204</v>
      </c>
      <c r="BA262" s="107" t="s">
        <v>201</v>
      </c>
      <c r="BB262" s="104">
        <v>9</v>
      </c>
      <c r="BC262" s="108">
        <v>20</v>
      </c>
      <c r="BD262" s="108"/>
      <c r="BE262" s="158" t="str">
        <f t="shared" si="111"/>
        <v/>
      </c>
      <c r="BF262" s="158" t="str">
        <f t="shared" si="112"/>
        <v/>
      </c>
      <c r="BG262" s="158" t="str">
        <f t="shared" si="113"/>
        <v/>
      </c>
      <c r="BH262" s="158" t="str">
        <f t="shared" si="114"/>
        <v/>
      </c>
      <c r="BI262" s="158" t="str">
        <f t="shared" si="115"/>
        <v/>
      </c>
      <c r="BJ262" s="158" t="str">
        <f t="shared" si="116"/>
        <v/>
      </c>
      <c r="BK262" s="158" t="str">
        <f t="shared" si="117"/>
        <v/>
      </c>
      <c r="BL262" s="158" t="str">
        <f t="shared" si="118"/>
        <v/>
      </c>
      <c r="BM262" s="158" t="str">
        <f t="shared" si="119"/>
        <v/>
      </c>
    </row>
    <row r="263" spans="1:65" ht="38.25" hidden="1" x14ac:dyDescent="0.3">
      <c r="A263" s="99" t="s">
        <v>153</v>
      </c>
      <c r="B263" s="66" t="s">
        <v>154</v>
      </c>
      <c r="C263" s="99" t="s">
        <v>155</v>
      </c>
      <c r="D263" s="99" t="s">
        <v>113</v>
      </c>
      <c r="E263" s="99" t="s">
        <v>156</v>
      </c>
      <c r="F263" s="101">
        <v>47.5</v>
      </c>
      <c r="G263" s="87">
        <v>0</v>
      </c>
      <c r="H263" s="101">
        <v>0.98</v>
      </c>
      <c r="I263" s="101">
        <v>0.95</v>
      </c>
      <c r="J263" s="101">
        <v>1.5</v>
      </c>
      <c r="K263" s="101">
        <v>1.5</v>
      </c>
      <c r="L263" s="99" t="s">
        <v>115</v>
      </c>
      <c r="M263" s="102" t="s">
        <v>114</v>
      </c>
      <c r="N263" s="159" t="str">
        <f t="shared" si="57"/>
        <v>Kopalina naturalna</v>
      </c>
      <c r="O263" s="159" t="str">
        <f t="shared" si="58"/>
        <v>06a</v>
      </c>
      <c r="P263" s="159" t="str">
        <f t="shared" si="59"/>
        <v>Wapno kredowe suche</v>
      </c>
      <c r="R263" s="160" t="str">
        <f t="shared" ref="R263" si="124">IF(I15="","",I15)</f>
        <v/>
      </c>
      <c r="S263" s="161" t="str">
        <f t="shared" si="61"/>
        <v/>
      </c>
      <c r="T263" s="160">
        <f t="shared" si="62"/>
        <v>0</v>
      </c>
      <c r="U263" s="160">
        <f t="shared" si="63"/>
        <v>0</v>
      </c>
      <c r="V263" s="160">
        <f t="shared" si="64"/>
        <v>0</v>
      </c>
      <c r="W263" s="160">
        <f t="shared" si="65"/>
        <v>0</v>
      </c>
      <c r="X263" s="160">
        <f t="shared" si="66"/>
        <v>0</v>
      </c>
      <c r="Y263" s="160">
        <f t="shared" si="67"/>
        <v>0</v>
      </c>
      <c r="Z263" s="160">
        <f t="shared" si="68"/>
        <v>0</v>
      </c>
      <c r="AA263" s="160">
        <f t="shared" si="69"/>
        <v>0</v>
      </c>
      <c r="AB263" s="160">
        <f t="shared" si="70"/>
        <v>0</v>
      </c>
      <c r="AC263" s="160">
        <f t="shared" si="71"/>
        <v>1</v>
      </c>
      <c r="AD263" s="160">
        <f t="shared" si="72"/>
        <v>1</v>
      </c>
      <c r="AE263" s="160">
        <f t="shared" si="73"/>
        <v>0</v>
      </c>
      <c r="AF263" s="160">
        <f t="shared" si="74"/>
        <v>1</v>
      </c>
      <c r="AG263" s="160">
        <f t="shared" si="75"/>
        <v>0</v>
      </c>
      <c r="AH263" s="160">
        <f t="shared" si="76"/>
        <v>1</v>
      </c>
      <c r="AI263" s="160">
        <f t="shared" si="77"/>
        <v>0</v>
      </c>
      <c r="AJ263" s="160">
        <f t="shared" si="78"/>
        <v>1</v>
      </c>
      <c r="AK263" s="160">
        <f t="shared" si="79"/>
        <v>0</v>
      </c>
      <c r="AL263" s="160">
        <f t="shared" si="80"/>
        <v>1</v>
      </c>
      <c r="AM263" s="160">
        <f t="shared" si="81"/>
        <v>0</v>
      </c>
      <c r="AN263" s="160">
        <f t="shared" si="82"/>
        <v>1</v>
      </c>
      <c r="AO263" s="160">
        <f t="shared" si="83"/>
        <v>0</v>
      </c>
      <c r="AP263" s="160">
        <f t="shared" si="84"/>
        <v>1</v>
      </c>
      <c r="AQ263" s="160">
        <f t="shared" si="85"/>
        <v>0</v>
      </c>
      <c r="AR263" s="160" t="str">
        <f t="shared" ref="AR263" si="125">IF(K15="","",K15)</f>
        <v/>
      </c>
      <c r="AS263" s="162" t="str">
        <f t="shared" si="87"/>
        <v/>
      </c>
      <c r="AU263" s="139" t="b">
        <f t="shared" si="54"/>
        <v>0</v>
      </c>
      <c r="AW263" s="94">
        <v>24</v>
      </c>
      <c r="AX263" s="94"/>
      <c r="AY263" s="94"/>
      <c r="AZ263" s="94"/>
      <c r="BA263" s="107" t="s">
        <v>201</v>
      </c>
      <c r="BB263" s="110">
        <v>60</v>
      </c>
      <c r="BC263" s="108">
        <v>35</v>
      </c>
      <c r="BD263" s="108"/>
      <c r="BE263" s="158" t="str">
        <f t="shared" ref="BE263:BE266" si="126">IF(AND(BE$253=$BA263,BE$247&lt;$BC262,BE$247&gt;=$BC263),$BB263,IF(AND(BE$246="CaO+MgO",BE$267="",BE$247&lt;$BC262,BE$247&gt;=$BC263),$BB263,""))</f>
        <v/>
      </c>
      <c r="BF263" s="158" t="str">
        <f t="shared" ref="BF263:BF266" si="127">IF(AND(BF$253=$BA263,BF$247&lt;$BC262,BF$247&gt;=$BC263),$BB263,IF(AND(BF$246="CaO+MgO",BF$267="",BF$247&lt;$BC262,BF$247&gt;=$BC263),$BB263,""))</f>
        <v/>
      </c>
      <c r="BG263" s="158" t="str">
        <f t="shared" ref="BG263:BG266" si="128">IF(AND(BG$253=$BA263,BG$247&lt;$BC262,BG$247&gt;=$BC263),$BB263,IF(AND(BG$246="CaO+MgO",BG$267="",BG$247&lt;$BC262,BG$247&gt;=$BC263),$BB263,""))</f>
        <v/>
      </c>
      <c r="BH263" s="158" t="str">
        <f t="shared" ref="BH263:BH266" si="129">IF(AND(BH$253=$BA263,BH$247&lt;$BC262,BH$247&gt;=$BC263),$BB263,IF(AND(BH$246="CaO+MgO",BH$267="",BH$247&lt;$BC262,BH$247&gt;=$BC263),$BB263,""))</f>
        <v/>
      </c>
      <c r="BI263" s="158" t="str">
        <f t="shared" ref="BI263:BI266" si="130">IF(AND(BI$253=$BA263,BI$247&lt;$BC262,BI$247&gt;=$BC263),$BB263,IF(AND(BI$246="CaO+MgO",BI$267="",BI$247&lt;$BC262,BI$247&gt;=$BC263),$BB263,""))</f>
        <v/>
      </c>
      <c r="BJ263" s="158" t="str">
        <f t="shared" ref="BJ263:BJ266" si="131">IF(AND(BJ$253=$BA263,BJ$247&lt;$BC262,BJ$247&gt;=$BC263),$BB263,IF(AND(BJ$246="CaO+MgO",BJ$267="",BJ$247&lt;$BC262,BJ$247&gt;=$BC263),$BB263,""))</f>
        <v/>
      </c>
      <c r="BK263" s="158" t="str">
        <f t="shared" ref="BK263:BK266" si="132">IF(AND(BK$253=$BA263,BK$247&lt;$BC262,BK$247&gt;=$BC263),$BB263,IF(AND(BK$246="CaO+MgO",BK$267="",BK$247&lt;$BC262,BK$247&gt;=$BC263),$BB263,""))</f>
        <v/>
      </c>
      <c r="BL263" s="158" t="str">
        <f t="shared" ref="BL263:BL266" si="133">IF(AND(BL$253=$BA263,BL$247&lt;$BC262,BL$247&gt;=$BC263),$BB263,IF(AND(BL$246="CaO+MgO",BL$267="",BL$247&lt;$BC262,BL$247&gt;=$BC263),$BB263,""))</f>
        <v/>
      </c>
      <c r="BM263" s="158" t="str">
        <f t="shared" ref="BM263:BM266" si="134">IF(AND(BM$253=$BA263,BM$247&lt;$BC262,BM$247&gt;=$BC263),$BB263,IF(AND(BM$246="CaO+MgO",BM$267="",BM$247&lt;$BC262,BM$247&gt;=$BC263),$BB263,""))</f>
        <v/>
      </c>
    </row>
    <row r="264" spans="1:65" ht="51" hidden="1" x14ac:dyDescent="0.3">
      <c r="A264" s="99"/>
      <c r="B264" s="66" t="s">
        <v>157</v>
      </c>
      <c r="C264" s="99" t="s">
        <v>158</v>
      </c>
      <c r="D264" s="99" t="s">
        <v>159</v>
      </c>
      <c r="E264" s="99" t="s">
        <v>156</v>
      </c>
      <c r="F264" s="101">
        <v>47.5</v>
      </c>
      <c r="G264" s="87">
        <v>0</v>
      </c>
      <c r="H264" s="101">
        <v>0.96</v>
      </c>
      <c r="I264" s="101">
        <v>0.93</v>
      </c>
      <c r="J264" s="101">
        <v>1.5</v>
      </c>
      <c r="K264" s="101">
        <v>1.4</v>
      </c>
      <c r="L264" s="99" t="s">
        <v>115</v>
      </c>
      <c r="M264" s="102" t="s">
        <v>114</v>
      </c>
      <c r="N264" s="159" t="str">
        <f t="shared" si="57"/>
        <v>Kopalina naturalna</v>
      </c>
      <c r="O264" s="159" t="str">
        <f t="shared" si="58"/>
        <v>07a</v>
      </c>
      <c r="P264" s="159" t="str">
        <f t="shared" si="59"/>
        <v>Wapno kredowe podsuszone</v>
      </c>
      <c r="R264" s="160" t="str">
        <f t="shared" ref="R264" si="135">IF(I16="","",I16)</f>
        <v/>
      </c>
      <c r="S264" s="161" t="str">
        <f t="shared" si="61"/>
        <v/>
      </c>
      <c r="T264" s="160">
        <f t="shared" si="62"/>
        <v>0</v>
      </c>
      <c r="U264" s="160">
        <f t="shared" si="63"/>
        <v>0</v>
      </c>
      <c r="V264" s="160">
        <f t="shared" si="64"/>
        <v>0</v>
      </c>
      <c r="W264" s="160">
        <f t="shared" si="65"/>
        <v>0</v>
      </c>
      <c r="X264" s="160">
        <f t="shared" si="66"/>
        <v>0</v>
      </c>
      <c r="Y264" s="160">
        <f t="shared" si="67"/>
        <v>0</v>
      </c>
      <c r="Z264" s="160">
        <f t="shared" si="68"/>
        <v>0</v>
      </c>
      <c r="AA264" s="160">
        <f t="shared" si="69"/>
        <v>0</v>
      </c>
      <c r="AB264" s="160">
        <f t="shared" si="70"/>
        <v>0</v>
      </c>
      <c r="AC264" s="160">
        <f t="shared" si="71"/>
        <v>0</v>
      </c>
      <c r="AD264" s="160">
        <f t="shared" si="72"/>
        <v>0</v>
      </c>
      <c r="AE264" s="160">
        <f t="shared" si="73"/>
        <v>0</v>
      </c>
      <c r="AF264" s="160">
        <f t="shared" si="74"/>
        <v>0</v>
      </c>
      <c r="AG264" s="160">
        <f t="shared" si="75"/>
        <v>0</v>
      </c>
      <c r="AH264" s="160">
        <f t="shared" si="76"/>
        <v>0</v>
      </c>
      <c r="AI264" s="160">
        <f t="shared" si="77"/>
        <v>0</v>
      </c>
      <c r="AJ264" s="160">
        <f t="shared" si="78"/>
        <v>0</v>
      </c>
      <c r="AK264" s="160">
        <f t="shared" si="79"/>
        <v>0</v>
      </c>
      <c r="AL264" s="160">
        <f t="shared" si="80"/>
        <v>0</v>
      </c>
      <c r="AM264" s="160">
        <f t="shared" si="81"/>
        <v>0</v>
      </c>
      <c r="AN264" s="160">
        <f t="shared" si="82"/>
        <v>0</v>
      </c>
      <c r="AO264" s="160">
        <f t="shared" si="83"/>
        <v>0</v>
      </c>
      <c r="AP264" s="160">
        <f t="shared" si="84"/>
        <v>0</v>
      </c>
      <c r="AQ264" s="160">
        <f t="shared" si="85"/>
        <v>0</v>
      </c>
      <c r="AR264" s="160" t="str">
        <f t="shared" ref="AR264" si="136">IF(K16="","",K16)</f>
        <v/>
      </c>
      <c r="AS264" s="162" t="str">
        <f t="shared" si="87"/>
        <v/>
      </c>
      <c r="AU264" s="139" t="b">
        <f t="shared" si="54"/>
        <v>0</v>
      </c>
      <c r="AW264" s="94"/>
      <c r="AX264" s="94"/>
      <c r="AY264" s="94"/>
      <c r="AZ264" s="94"/>
      <c r="BA264" s="107" t="s">
        <v>201</v>
      </c>
      <c r="BB264" s="110">
        <v>70</v>
      </c>
      <c r="BC264" s="108">
        <v>30</v>
      </c>
      <c r="BD264" s="108"/>
      <c r="BE264" s="158" t="str">
        <f t="shared" si="126"/>
        <v/>
      </c>
      <c r="BF264" s="158" t="str">
        <f t="shared" si="127"/>
        <v/>
      </c>
      <c r="BG264" s="158" t="str">
        <f t="shared" si="128"/>
        <v/>
      </c>
      <c r="BH264" s="158" t="str">
        <f t="shared" si="129"/>
        <v/>
      </c>
      <c r="BI264" s="158" t="str">
        <f t="shared" si="130"/>
        <v/>
      </c>
      <c r="BJ264" s="158" t="str">
        <f t="shared" si="131"/>
        <v/>
      </c>
      <c r="BK264" s="158" t="str">
        <f t="shared" si="132"/>
        <v/>
      </c>
      <c r="BL264" s="158" t="str">
        <f t="shared" si="133"/>
        <v/>
      </c>
      <c r="BM264" s="158" t="str">
        <f t="shared" si="134"/>
        <v/>
      </c>
    </row>
    <row r="265" spans="1:65" ht="38.25" hidden="1" x14ac:dyDescent="0.3">
      <c r="A265" s="99"/>
      <c r="B265" s="66" t="s">
        <v>160</v>
      </c>
      <c r="C265" s="99" t="s">
        <v>161</v>
      </c>
      <c r="D265" s="99" t="s">
        <v>162</v>
      </c>
      <c r="E265" s="99" t="s">
        <v>156</v>
      </c>
      <c r="F265" s="101">
        <v>45</v>
      </c>
      <c r="G265" s="87">
        <v>0</v>
      </c>
      <c r="H265" s="101">
        <v>0.94</v>
      </c>
      <c r="I265" s="101">
        <v>0.92</v>
      </c>
      <c r="J265" s="101">
        <v>1.5</v>
      </c>
      <c r="K265" s="101">
        <v>1.3</v>
      </c>
      <c r="L265" s="99" t="s">
        <v>116</v>
      </c>
      <c r="M265" s="102" t="s">
        <v>163</v>
      </c>
      <c r="N265" s="159" t="str">
        <f t="shared" si="57"/>
        <v>Kopalina naturalna</v>
      </c>
      <c r="O265" s="159" t="str">
        <f t="shared" si="58"/>
        <v>08a</v>
      </c>
      <c r="P265" s="159" t="str">
        <f t="shared" si="59"/>
        <v>Wapno kredowe odsączone</v>
      </c>
      <c r="T265" s="159" t="str">
        <f>IF(D265="",T264,D265)</f>
        <v>Kreda wilgotna</v>
      </c>
      <c r="AU265" s="139" t="b">
        <f t="shared" si="54"/>
        <v>0</v>
      </c>
      <c r="AW265" s="94">
        <v>16</v>
      </c>
      <c r="AX265" s="94"/>
      <c r="AY265" s="94"/>
      <c r="AZ265" s="94"/>
      <c r="BA265" s="107" t="s">
        <v>201</v>
      </c>
      <c r="BB265" s="110">
        <v>80</v>
      </c>
      <c r="BC265" s="108">
        <v>25</v>
      </c>
      <c r="BD265" s="108"/>
      <c r="BE265" s="158" t="str">
        <f t="shared" si="126"/>
        <v/>
      </c>
      <c r="BF265" s="158" t="str">
        <f t="shared" si="127"/>
        <v/>
      </c>
      <c r="BG265" s="158" t="str">
        <f t="shared" si="128"/>
        <v/>
      </c>
      <c r="BH265" s="158" t="str">
        <f t="shared" si="129"/>
        <v/>
      </c>
      <c r="BI265" s="158" t="str">
        <f t="shared" si="130"/>
        <v/>
      </c>
      <c r="BJ265" s="158" t="str">
        <f t="shared" si="131"/>
        <v/>
      </c>
      <c r="BK265" s="158" t="str">
        <f t="shared" si="132"/>
        <v/>
      </c>
      <c r="BL265" s="158" t="str">
        <f t="shared" si="133"/>
        <v/>
      </c>
      <c r="BM265" s="158" t="str">
        <f t="shared" si="134"/>
        <v/>
      </c>
    </row>
    <row r="266" spans="1:65" ht="38.25" hidden="1" x14ac:dyDescent="0.25">
      <c r="A266" s="99"/>
      <c r="B266" s="66" t="s">
        <v>164</v>
      </c>
      <c r="C266" s="99" t="s">
        <v>165</v>
      </c>
      <c r="D266" s="99" t="s">
        <v>166</v>
      </c>
      <c r="E266" s="99" t="s">
        <v>156</v>
      </c>
      <c r="F266" s="101">
        <v>40</v>
      </c>
      <c r="G266" s="87">
        <v>0</v>
      </c>
      <c r="H266" s="101">
        <v>0.9</v>
      </c>
      <c r="I266" s="101">
        <v>0.9</v>
      </c>
      <c r="J266" s="101">
        <v>1.5</v>
      </c>
      <c r="K266" s="101">
        <v>1.2</v>
      </c>
      <c r="L266" s="99" t="s">
        <v>118</v>
      </c>
      <c r="M266" s="102" t="s">
        <v>163</v>
      </c>
      <c r="N266" s="159" t="str">
        <f t="shared" si="57"/>
        <v>Kopalina naturalna</v>
      </c>
      <c r="O266" s="159" t="str">
        <f t="shared" si="58"/>
        <v>09a</v>
      </c>
      <c r="P266" s="159" t="str">
        <f t="shared" si="59"/>
        <v>Wapno kredowe mokre</v>
      </c>
      <c r="T266" s="159" t="str">
        <f>IF(D266="",T265,D266)</f>
        <v>Kreda mokra</v>
      </c>
      <c r="AU266" s="139" t="b">
        <f t="shared" si="54"/>
        <v>0</v>
      </c>
      <c r="BA266" s="107" t="s">
        <v>201</v>
      </c>
      <c r="BB266" s="110">
        <v>90</v>
      </c>
      <c r="BC266" s="108">
        <v>20</v>
      </c>
      <c r="BD266" s="108"/>
      <c r="BE266" s="158" t="str">
        <f t="shared" si="126"/>
        <v/>
      </c>
      <c r="BF266" s="158" t="str">
        <f t="shared" si="127"/>
        <v/>
      </c>
      <c r="BG266" s="158" t="str">
        <f t="shared" si="128"/>
        <v/>
      </c>
      <c r="BH266" s="158" t="str">
        <f t="shared" si="129"/>
        <v/>
      </c>
      <c r="BI266" s="158" t="str">
        <f t="shared" si="130"/>
        <v/>
      </c>
      <c r="BJ266" s="158" t="str">
        <f t="shared" si="131"/>
        <v/>
      </c>
      <c r="BK266" s="158" t="str">
        <f t="shared" si="132"/>
        <v/>
      </c>
      <c r="BL266" s="158" t="str">
        <f t="shared" si="133"/>
        <v/>
      </c>
      <c r="BM266" s="158" t="str">
        <f t="shared" si="134"/>
        <v/>
      </c>
    </row>
    <row r="267" spans="1:65" ht="51" hidden="1" x14ac:dyDescent="0.3">
      <c r="A267" s="34" t="s">
        <v>195</v>
      </c>
      <c r="B267" s="34" t="s">
        <v>128</v>
      </c>
      <c r="C267" s="34" t="s">
        <v>129</v>
      </c>
      <c r="D267" s="34" t="s">
        <v>130</v>
      </c>
      <c r="E267" s="34" t="s">
        <v>107</v>
      </c>
      <c r="F267" s="90" t="s">
        <v>167</v>
      </c>
      <c r="G267" s="90" t="s">
        <v>168</v>
      </c>
      <c r="H267" s="90" t="s">
        <v>109</v>
      </c>
      <c r="I267" s="90" t="s">
        <v>131</v>
      </c>
      <c r="J267" s="90" t="s">
        <v>110</v>
      </c>
      <c r="K267" s="90" t="s">
        <v>111</v>
      </c>
      <c r="L267" s="34" t="s">
        <v>132</v>
      </c>
      <c r="M267" s="34" t="s">
        <v>112</v>
      </c>
      <c r="N267" s="87"/>
      <c r="O267" s="87"/>
      <c r="P267" s="87"/>
      <c r="T267" s="87"/>
      <c r="AU267" s="139" t="b">
        <f t="shared" si="54"/>
        <v>0</v>
      </c>
      <c r="AW267" s="94">
        <v>18</v>
      </c>
      <c r="AX267" s="94"/>
      <c r="AY267" s="94"/>
      <c r="AZ267" s="94"/>
      <c r="BA267" s="98" t="s">
        <v>202</v>
      </c>
      <c r="BB267" s="104"/>
      <c r="BC267" s="108"/>
      <c r="BD267" s="108"/>
      <c r="BE267" s="158" t="str">
        <f>IF(SUM(BE268:BE274)=0,"",SUM(BE268:BE2740))</f>
        <v/>
      </c>
      <c r="BF267" s="158" t="str">
        <f t="shared" ref="BF267:BM267" si="137">IF(SUM(BF268:BF274)=0,"",SUM(BF268:BF2740))</f>
        <v/>
      </c>
      <c r="BG267" s="158" t="str">
        <f t="shared" si="137"/>
        <v/>
      </c>
      <c r="BH267" s="158" t="str">
        <f t="shared" si="137"/>
        <v/>
      </c>
      <c r="BI267" s="158" t="str">
        <f t="shared" si="137"/>
        <v/>
      </c>
      <c r="BJ267" s="158" t="str">
        <f t="shared" si="137"/>
        <v/>
      </c>
      <c r="BK267" s="158" t="str">
        <f t="shared" si="137"/>
        <v/>
      </c>
      <c r="BL267" s="158" t="str">
        <f t="shared" si="137"/>
        <v/>
      </c>
      <c r="BM267" s="158" t="str">
        <f t="shared" si="137"/>
        <v/>
      </c>
    </row>
    <row r="268" spans="1:65" ht="51" hidden="1" x14ac:dyDescent="0.25">
      <c r="A268" s="99" t="s">
        <v>169</v>
      </c>
      <c r="B268" s="100" t="s">
        <v>182</v>
      </c>
      <c r="C268" s="99" t="s">
        <v>170</v>
      </c>
      <c r="D268" s="99" t="s">
        <v>171</v>
      </c>
      <c r="E268" s="99" t="s">
        <v>25</v>
      </c>
      <c r="F268" s="101">
        <v>75</v>
      </c>
      <c r="G268" s="101">
        <v>25</v>
      </c>
      <c r="H268" s="101">
        <v>0.98</v>
      </c>
      <c r="I268" s="101">
        <v>0.9</v>
      </c>
      <c r="J268" s="101">
        <v>1</v>
      </c>
      <c r="K268" s="101">
        <v>1.5</v>
      </c>
      <c r="L268" s="99" t="s">
        <v>126</v>
      </c>
      <c r="M268" s="102" t="s">
        <v>261</v>
      </c>
      <c r="N268" s="159" t="str">
        <f t="shared" ref="N268:P274" si="138">IF(A268="",N267,A268)</f>
        <v>Tlenkowe</v>
      </c>
      <c r="O268" s="159" t="str">
        <f t="shared" si="138"/>
        <v>01</v>
      </c>
      <c r="P268" s="159" t="str">
        <f t="shared" si="138"/>
        <v>Prażone wapno magnezowe</v>
      </c>
      <c r="T268" s="159" t="str">
        <f t="shared" ref="T268:T274" si="139">IF(D268="",T267,D268)</f>
        <v>Wapno magnezowe tlenkowe</v>
      </c>
      <c r="AU268" s="139" t="b">
        <f t="shared" si="54"/>
        <v>0</v>
      </c>
      <c r="BA268" s="107" t="s">
        <v>198</v>
      </c>
      <c r="BB268" s="110">
        <v>1</v>
      </c>
      <c r="BC268" s="108">
        <v>75</v>
      </c>
      <c r="BD268" s="108">
        <v>25</v>
      </c>
      <c r="BE268" s="158" t="str">
        <f t="shared" ref="BE268:BM268" si="140">IF(AND(BE$253=$BA269,BE$247&gt;=$BC268,BE$245&gt;=$BD268),$BB268,"")</f>
        <v/>
      </c>
      <c r="BF268" s="158" t="str">
        <f t="shared" si="140"/>
        <v/>
      </c>
      <c r="BG268" s="158" t="str">
        <f t="shared" si="140"/>
        <v/>
      </c>
      <c r="BH268" s="158" t="str">
        <f t="shared" si="140"/>
        <v/>
      </c>
      <c r="BI268" s="158" t="str">
        <f t="shared" si="140"/>
        <v/>
      </c>
      <c r="BJ268" s="158" t="str">
        <f t="shared" si="140"/>
        <v/>
      </c>
      <c r="BK268" s="158" t="str">
        <f t="shared" si="140"/>
        <v/>
      </c>
      <c r="BL268" s="158" t="str">
        <f t="shared" si="140"/>
        <v/>
      </c>
      <c r="BM268" s="158" t="str">
        <f t="shared" si="140"/>
        <v/>
      </c>
    </row>
    <row r="269" spans="1:65" ht="51" hidden="1" x14ac:dyDescent="0.25">
      <c r="A269" s="99"/>
      <c r="B269" s="100" t="s">
        <v>183</v>
      </c>
      <c r="C269" s="99" t="s">
        <v>170</v>
      </c>
      <c r="D269" s="99" t="s">
        <v>171</v>
      </c>
      <c r="E269" s="99" t="s">
        <v>25</v>
      </c>
      <c r="F269" s="101">
        <v>60</v>
      </c>
      <c r="G269" s="101">
        <v>20</v>
      </c>
      <c r="H269" s="101">
        <v>0.96</v>
      </c>
      <c r="I269" s="101">
        <v>0.9</v>
      </c>
      <c r="J269" s="101">
        <v>1.2</v>
      </c>
      <c r="K269" s="101">
        <v>1.4</v>
      </c>
      <c r="L269" s="99" t="s">
        <v>172</v>
      </c>
      <c r="M269" s="102" t="s">
        <v>262</v>
      </c>
      <c r="N269" s="159" t="str">
        <f t="shared" si="138"/>
        <v>Tlenkowe</v>
      </c>
      <c r="O269" s="159" t="str">
        <f t="shared" si="138"/>
        <v>02</v>
      </c>
      <c r="P269" s="159" t="str">
        <f t="shared" si="138"/>
        <v>Prażone wapno magnezowe</v>
      </c>
      <c r="T269" s="159" t="str">
        <f t="shared" si="139"/>
        <v>Wapno magnezowe tlenkowe</v>
      </c>
      <c r="AU269" s="139" t="b">
        <f t="shared" si="54"/>
        <v>0</v>
      </c>
      <c r="BA269" s="107" t="s">
        <v>198</v>
      </c>
      <c r="BB269" s="110">
        <v>2</v>
      </c>
      <c r="BC269" s="108">
        <v>60</v>
      </c>
      <c r="BD269" s="108">
        <v>20</v>
      </c>
      <c r="BE269" s="158" t="str">
        <f t="shared" ref="BE269:BM269" si="141">IF(AND(BE$253=$BA270,BE$247&lt;$BC268,BE$247&gt;=$BC269,BE$245&gt;=$BD269),$BB269,"")</f>
        <v/>
      </c>
      <c r="BF269" s="158" t="str">
        <f t="shared" si="141"/>
        <v/>
      </c>
      <c r="BG269" s="158" t="str">
        <f t="shared" si="141"/>
        <v/>
      </c>
      <c r="BH269" s="158" t="str">
        <f t="shared" si="141"/>
        <v/>
      </c>
      <c r="BI269" s="158" t="str">
        <f t="shared" si="141"/>
        <v/>
      </c>
      <c r="BJ269" s="158" t="str">
        <f t="shared" si="141"/>
        <v/>
      </c>
      <c r="BK269" s="158" t="str">
        <f t="shared" si="141"/>
        <v/>
      </c>
      <c r="BL269" s="158" t="str">
        <f t="shared" si="141"/>
        <v/>
      </c>
      <c r="BM269" s="158" t="str">
        <f t="shared" si="141"/>
        <v/>
      </c>
    </row>
    <row r="270" spans="1:65" ht="51" hidden="1" x14ac:dyDescent="0.25">
      <c r="A270" s="99" t="s">
        <v>173</v>
      </c>
      <c r="B270" s="100" t="s">
        <v>184</v>
      </c>
      <c r="C270" s="99" t="s">
        <v>174</v>
      </c>
      <c r="D270" s="99" t="s">
        <v>121</v>
      </c>
      <c r="E270" s="99" t="s">
        <v>21</v>
      </c>
      <c r="F270" s="101">
        <v>50</v>
      </c>
      <c r="G270" s="101">
        <v>15</v>
      </c>
      <c r="H270" s="101">
        <v>0.75</v>
      </c>
      <c r="I270" s="101">
        <v>0.7</v>
      </c>
      <c r="J270" s="101">
        <v>3.5</v>
      </c>
      <c r="K270" s="101">
        <v>0.8</v>
      </c>
      <c r="L270" s="99" t="s">
        <v>119</v>
      </c>
      <c r="M270" s="102" t="s">
        <v>175</v>
      </c>
      <c r="N270" s="159" t="str">
        <f t="shared" si="138"/>
        <v>Węglanowe</v>
      </c>
      <c r="O270" s="159" t="str">
        <f t="shared" si="138"/>
        <v>03</v>
      </c>
      <c r="P270" s="159" t="str">
        <f t="shared" si="138"/>
        <v>Skały wapniowo-magnezowe</v>
      </c>
      <c r="T270" s="159" t="str">
        <f t="shared" si="139"/>
        <v>Wapno magnezowe (wapień magnezowy)</v>
      </c>
      <c r="AU270" s="139" t="b">
        <f t="shared" si="54"/>
        <v>0</v>
      </c>
      <c r="BA270" s="107" t="s">
        <v>198</v>
      </c>
      <c r="BB270" s="110">
        <v>3</v>
      </c>
      <c r="BC270" s="108">
        <v>50</v>
      </c>
      <c r="BD270" s="108">
        <v>15</v>
      </c>
      <c r="BE270" s="158" t="str">
        <f t="shared" ref="BE270:BI274" si="142">IF(AND(BE$253=$BA271,BE$247&lt;$BC269,BE$247&gt;=$BC270,BE$245&gt;=$BD270),$BB270,"")</f>
        <v/>
      </c>
      <c r="BF270" s="158" t="str">
        <f t="shared" si="142"/>
        <v/>
      </c>
      <c r="BG270" s="158" t="str">
        <f t="shared" si="142"/>
        <v/>
      </c>
      <c r="BH270" s="158" t="str">
        <f t="shared" si="142"/>
        <v/>
      </c>
      <c r="BI270" s="158" t="str">
        <f t="shared" si="142"/>
        <v/>
      </c>
      <c r="BJ270" s="158" t="str">
        <f t="shared" ref="BJ270:BJ273" si="143">IF(AND(BJ$253=$BA271,BJ$247&lt;$BC269,BJ$247&gt;=$BC270,BJ$245&gt;=$BD270),$BB270,"")</f>
        <v/>
      </c>
      <c r="BK270" s="158" t="str">
        <f t="shared" ref="BK270:BM274" si="144">IF(AND(BK$253=$BA271,BK$247&lt;$BC269,BK$247&gt;=$BC270,BK$245&gt;=$BD270),$BB270,"")</f>
        <v/>
      </c>
      <c r="BL270" s="158" t="str">
        <f t="shared" si="144"/>
        <v/>
      </c>
      <c r="BM270" s="158" t="str">
        <f t="shared" si="144"/>
        <v/>
      </c>
    </row>
    <row r="271" spans="1:65" ht="51" hidden="1" x14ac:dyDescent="0.25">
      <c r="A271" s="99"/>
      <c r="B271" s="100" t="s">
        <v>185</v>
      </c>
      <c r="C271" s="99" t="s">
        <v>176</v>
      </c>
      <c r="D271" s="99" t="s">
        <v>177</v>
      </c>
      <c r="E271" s="99" t="s">
        <v>21</v>
      </c>
      <c r="F271" s="101">
        <v>50</v>
      </c>
      <c r="G271" s="101">
        <v>8</v>
      </c>
      <c r="H271" s="101">
        <v>0.72</v>
      </c>
      <c r="I271" s="101">
        <v>0.7</v>
      </c>
      <c r="J271" s="101">
        <v>3.5</v>
      </c>
      <c r="K271" s="101">
        <v>0.8</v>
      </c>
      <c r="L271" s="99" t="s">
        <v>119</v>
      </c>
      <c r="M271" s="102" t="s">
        <v>258</v>
      </c>
      <c r="N271" s="159" t="str">
        <f t="shared" si="138"/>
        <v>Węglanowe</v>
      </c>
      <c r="O271" s="159" t="str">
        <f t="shared" si="138"/>
        <v>04</v>
      </c>
      <c r="P271" s="159" t="str">
        <f t="shared" si="138"/>
        <v>Mieszanki wapniowo-magnezowe</v>
      </c>
      <c r="T271" s="159" t="str">
        <f t="shared" si="139"/>
        <v>Wapno magnezowe</v>
      </c>
      <c r="AU271" s="139" t="b">
        <f t="shared" si="54"/>
        <v>0</v>
      </c>
      <c r="BA271" s="107" t="s">
        <v>198</v>
      </c>
      <c r="BB271" s="110">
        <v>4</v>
      </c>
      <c r="BC271" s="108">
        <v>50</v>
      </c>
      <c r="BD271" s="108">
        <v>8</v>
      </c>
      <c r="BE271" s="158" t="str">
        <f t="shared" si="142"/>
        <v/>
      </c>
      <c r="BF271" s="158" t="str">
        <f t="shared" si="142"/>
        <v/>
      </c>
      <c r="BG271" s="158" t="str">
        <f t="shared" si="142"/>
        <v/>
      </c>
      <c r="BH271" s="158" t="str">
        <f t="shared" si="142"/>
        <v/>
      </c>
      <c r="BI271" s="158" t="str">
        <f t="shared" si="142"/>
        <v/>
      </c>
      <c r="BJ271" s="158" t="str">
        <f t="shared" si="143"/>
        <v/>
      </c>
      <c r="BK271" s="158" t="str">
        <f t="shared" si="144"/>
        <v/>
      </c>
      <c r="BL271" s="158" t="str">
        <f t="shared" si="144"/>
        <v/>
      </c>
      <c r="BM271" s="158" t="str">
        <f t="shared" si="144"/>
        <v/>
      </c>
    </row>
    <row r="272" spans="1:65" ht="38.25" hidden="1" x14ac:dyDescent="0.25">
      <c r="A272" s="99"/>
      <c r="B272" s="100" t="s">
        <v>186</v>
      </c>
      <c r="C272" s="99" t="s">
        <v>72</v>
      </c>
      <c r="D272" s="99" t="s">
        <v>122</v>
      </c>
      <c r="E272" s="99" t="s">
        <v>21</v>
      </c>
      <c r="F272" s="101">
        <v>45</v>
      </c>
      <c r="G272" s="101">
        <v>15</v>
      </c>
      <c r="H272" s="101">
        <v>0.65</v>
      </c>
      <c r="I272" s="101">
        <v>0.7</v>
      </c>
      <c r="J272" s="101">
        <v>4</v>
      </c>
      <c r="K272" s="101">
        <v>0.7</v>
      </c>
      <c r="L272" s="99" t="s">
        <v>120</v>
      </c>
      <c r="M272" s="102" t="s">
        <v>178</v>
      </c>
      <c r="N272" s="159" t="str">
        <f t="shared" si="138"/>
        <v>Węglanowe</v>
      </c>
      <c r="O272" s="159" t="str">
        <f t="shared" si="138"/>
        <v>05</v>
      </c>
      <c r="P272" s="159" t="str">
        <f t="shared" si="138"/>
        <v>Dolomit</v>
      </c>
      <c r="T272" s="159" t="str">
        <f t="shared" si="139"/>
        <v>Dolomit drobny</v>
      </c>
      <c r="AU272" s="139" t="b">
        <f t="shared" si="54"/>
        <v>0</v>
      </c>
      <c r="BA272" s="107" t="s">
        <v>198</v>
      </c>
      <c r="BB272" s="110">
        <v>5</v>
      </c>
      <c r="BC272" s="108">
        <v>45</v>
      </c>
      <c r="BD272" s="108">
        <v>15</v>
      </c>
      <c r="BE272" s="158" t="str">
        <f t="shared" si="142"/>
        <v/>
      </c>
      <c r="BF272" s="158" t="str">
        <f t="shared" si="142"/>
        <v/>
      </c>
      <c r="BG272" s="158" t="str">
        <f t="shared" si="142"/>
        <v/>
      </c>
      <c r="BH272" s="158" t="str">
        <f t="shared" si="142"/>
        <v/>
      </c>
      <c r="BI272" s="158" t="str">
        <f t="shared" si="142"/>
        <v/>
      </c>
      <c r="BJ272" s="158" t="str">
        <f t="shared" si="143"/>
        <v/>
      </c>
      <c r="BK272" s="158" t="str">
        <f t="shared" si="144"/>
        <v/>
      </c>
      <c r="BL272" s="158" t="str">
        <f t="shared" si="144"/>
        <v/>
      </c>
      <c r="BM272" s="158" t="str">
        <f t="shared" si="144"/>
        <v/>
      </c>
    </row>
    <row r="273" spans="1:65" ht="38.25" hidden="1" x14ac:dyDescent="0.25">
      <c r="A273" s="99"/>
      <c r="B273" s="100" t="s">
        <v>187</v>
      </c>
      <c r="C273" s="99" t="s">
        <v>179</v>
      </c>
      <c r="D273" s="99" t="s">
        <v>180</v>
      </c>
      <c r="E273" s="99" t="s">
        <v>21</v>
      </c>
      <c r="F273" s="101">
        <v>45</v>
      </c>
      <c r="G273" s="101">
        <v>8</v>
      </c>
      <c r="H273" s="101">
        <v>0.55000000000000004</v>
      </c>
      <c r="I273" s="101">
        <v>0.6</v>
      </c>
      <c r="J273" s="101">
        <v>4.5</v>
      </c>
      <c r="K273" s="101">
        <v>0.6</v>
      </c>
      <c r="L273" s="99" t="s">
        <v>181</v>
      </c>
      <c r="M273" s="102" t="s">
        <v>259</v>
      </c>
      <c r="N273" s="159" t="str">
        <f t="shared" si="138"/>
        <v>Węglanowe</v>
      </c>
      <c r="O273" s="159" t="str">
        <f t="shared" si="138"/>
        <v>06</v>
      </c>
      <c r="P273" s="159" t="str">
        <f t="shared" si="138"/>
        <v>Dolomit + wapień</v>
      </c>
      <c r="T273" s="159" t="str">
        <f t="shared" si="139"/>
        <v>Dolomit mielony</v>
      </c>
      <c r="AU273" s="139" t="b">
        <f t="shared" si="54"/>
        <v>0</v>
      </c>
      <c r="BA273" s="107" t="s">
        <v>198</v>
      </c>
      <c r="BB273" s="110">
        <v>6</v>
      </c>
      <c r="BC273" s="108">
        <v>45</v>
      </c>
      <c r="BD273" s="108">
        <v>8</v>
      </c>
      <c r="BE273" s="158" t="str">
        <f t="shared" si="142"/>
        <v/>
      </c>
      <c r="BF273" s="158" t="str">
        <f t="shared" si="142"/>
        <v/>
      </c>
      <c r="BG273" s="158" t="str">
        <f t="shared" si="142"/>
        <v/>
      </c>
      <c r="BH273" s="158" t="str">
        <f t="shared" si="142"/>
        <v/>
      </c>
      <c r="BI273" s="158" t="str">
        <f t="shared" si="142"/>
        <v/>
      </c>
      <c r="BJ273" s="158" t="str">
        <f t="shared" si="143"/>
        <v/>
      </c>
      <c r="BK273" s="158" t="str">
        <f t="shared" si="144"/>
        <v/>
      </c>
      <c r="BL273" s="158" t="str">
        <f t="shared" si="144"/>
        <v/>
      </c>
      <c r="BM273" s="158" t="str">
        <f t="shared" si="144"/>
        <v/>
      </c>
    </row>
    <row r="274" spans="1:65" ht="51" hidden="1" x14ac:dyDescent="0.25">
      <c r="A274" s="99"/>
      <c r="B274" s="100" t="s">
        <v>188</v>
      </c>
      <c r="C274" s="99" t="s">
        <v>174</v>
      </c>
      <c r="D274" s="99" t="s">
        <v>123</v>
      </c>
      <c r="E274" s="99" t="s">
        <v>86</v>
      </c>
      <c r="F274" s="101">
        <v>40</v>
      </c>
      <c r="G274" s="101">
        <v>8</v>
      </c>
      <c r="H274" s="101">
        <v>0.4</v>
      </c>
      <c r="I274" s="101">
        <v>0.25</v>
      </c>
      <c r="J274" s="101">
        <v>5</v>
      </c>
      <c r="K274" s="101">
        <v>0.5</v>
      </c>
      <c r="L274" s="99" t="s">
        <v>124</v>
      </c>
      <c r="M274" s="102" t="s">
        <v>260</v>
      </c>
      <c r="N274" s="159" t="str">
        <f t="shared" si="138"/>
        <v>Węglanowe</v>
      </c>
      <c r="O274" s="159" t="str">
        <f t="shared" si="138"/>
        <v>07</v>
      </c>
      <c r="P274" s="159" t="str">
        <f t="shared" si="138"/>
        <v>Skały wapniowo-magnezowe</v>
      </c>
      <c r="T274" s="159" t="str">
        <f t="shared" si="139"/>
        <v>Dolomit gruby</v>
      </c>
      <c r="AU274" s="139" t="b">
        <f t="shared" si="54"/>
        <v>0</v>
      </c>
      <c r="BA274" s="107" t="s">
        <v>198</v>
      </c>
      <c r="BB274" s="110">
        <v>7</v>
      </c>
      <c r="BC274" s="108">
        <v>40</v>
      </c>
      <c r="BD274" s="108">
        <v>8</v>
      </c>
      <c r="BE274" s="158" t="str">
        <f t="shared" si="142"/>
        <v/>
      </c>
      <c r="BF274" s="158" t="str">
        <f t="shared" si="142"/>
        <v/>
      </c>
      <c r="BG274" s="158" t="str">
        <f t="shared" si="142"/>
        <v/>
      </c>
      <c r="BH274" s="158" t="str">
        <f t="shared" si="142"/>
        <v/>
      </c>
      <c r="BI274" s="158" t="str">
        <f t="shared" si="142"/>
        <v/>
      </c>
      <c r="BJ274" s="158" t="str">
        <f>IF(AND(BJ$253=$BA275,BJ$247&lt;$BC273,BJ$247&gt;=$BC274,BJ$245&gt;=$BD274),$BB274,"")</f>
        <v/>
      </c>
      <c r="BK274" s="158" t="str">
        <f t="shared" si="144"/>
        <v/>
      </c>
      <c r="BL274" s="158" t="str">
        <f t="shared" si="144"/>
        <v/>
      </c>
      <c r="BM274" s="158" t="str">
        <f t="shared" si="144"/>
        <v/>
      </c>
    </row>
    <row r="275" spans="1:65" ht="25.5" hidden="1" x14ac:dyDescent="0.2">
      <c r="A275" s="99"/>
      <c r="B275" s="100"/>
      <c r="C275" s="99"/>
      <c r="D275" s="99"/>
      <c r="E275" s="99"/>
      <c r="F275" s="101"/>
      <c r="G275" s="101"/>
      <c r="H275" s="101"/>
      <c r="I275" s="101"/>
      <c r="J275" s="101"/>
      <c r="K275" s="101"/>
      <c r="L275" s="99"/>
      <c r="M275" s="102"/>
      <c r="N275" s="87"/>
      <c r="O275" s="159" t="str">
        <f t="shared" ref="O275" si="145">IF(B275="",O274,B275)</f>
        <v>07</v>
      </c>
      <c r="P275" s="159" t="str">
        <f t="shared" ref="P275" si="146">IF(C275="",P274,C275)</f>
        <v>Skały wapniowo-magnezowe</v>
      </c>
      <c r="BA275" s="78" t="s">
        <v>219</v>
      </c>
      <c r="BB275" s="79" t="s">
        <v>206</v>
      </c>
      <c r="BE275" s="158" t="str">
        <f t="shared" ref="BE275:BM275" si="147">IF(AND(BE$253=$AY276,BE$247&lt;$BC274,BE$247&gt;=$BA275),$AZ275,"")</f>
        <v/>
      </c>
      <c r="BF275" s="158" t="str">
        <f t="shared" si="147"/>
        <v/>
      </c>
      <c r="BG275" s="158" t="str">
        <f t="shared" si="147"/>
        <v/>
      </c>
      <c r="BH275" s="158" t="str">
        <f t="shared" si="147"/>
        <v/>
      </c>
      <c r="BI275" s="158" t="str">
        <f t="shared" si="147"/>
        <v/>
      </c>
      <c r="BJ275" s="158" t="str">
        <f t="shared" si="147"/>
        <v/>
      </c>
      <c r="BK275" s="158" t="str">
        <f t="shared" si="147"/>
        <v/>
      </c>
      <c r="BL275" s="158" t="str">
        <f t="shared" si="147"/>
        <v/>
      </c>
      <c r="BM275" s="158" t="str">
        <f t="shared" si="147"/>
        <v/>
      </c>
    </row>
    <row r="276" spans="1:65" ht="76.5" hidden="1" x14ac:dyDescent="0.2">
      <c r="A276" s="78" t="s">
        <v>219</v>
      </c>
      <c r="B276" s="79" t="s">
        <v>206</v>
      </c>
      <c r="C276" s="78" t="s">
        <v>207</v>
      </c>
      <c r="D276" s="78" t="s">
        <v>208</v>
      </c>
      <c r="E276" s="78" t="s">
        <v>209</v>
      </c>
      <c r="F276" s="111">
        <v>50</v>
      </c>
      <c r="G276" s="112">
        <v>0</v>
      </c>
      <c r="H276" s="111">
        <v>0.72</v>
      </c>
      <c r="I276" s="111">
        <v>0.65</v>
      </c>
      <c r="J276" s="111">
        <v>3</v>
      </c>
      <c r="K276" s="111">
        <v>0.9</v>
      </c>
      <c r="L276" s="78" t="s">
        <v>119</v>
      </c>
      <c r="M276" s="113" t="s">
        <v>218</v>
      </c>
      <c r="N276" s="112" t="s">
        <v>173</v>
      </c>
      <c r="O276" s="163" t="str">
        <f t="shared" ref="O276:O278" si="148">IF(B276="",O275,B276)</f>
        <v>G1</v>
      </c>
      <c r="P276" s="163" t="str">
        <f t="shared" ref="P276:P278" si="149">IF(C276="",P275,C276)</f>
        <v>Węglan wapnia (typ 05)</v>
      </c>
      <c r="BA276" s="78" t="s">
        <v>220</v>
      </c>
      <c r="BB276" s="79" t="s">
        <v>210</v>
      </c>
    </row>
    <row r="277" spans="1:65" ht="51" hidden="1" x14ac:dyDescent="0.2">
      <c r="A277" s="78" t="s">
        <v>220</v>
      </c>
      <c r="B277" s="79" t="s">
        <v>210</v>
      </c>
      <c r="C277" s="78" t="s">
        <v>211</v>
      </c>
      <c r="D277" s="78" t="s">
        <v>205</v>
      </c>
      <c r="E277" s="78" t="s">
        <v>209</v>
      </c>
      <c r="F277" s="111">
        <v>45</v>
      </c>
      <c r="G277" s="112">
        <v>0</v>
      </c>
      <c r="H277" s="111">
        <v>0.96</v>
      </c>
      <c r="I277" s="111">
        <v>0.95</v>
      </c>
      <c r="J277" s="111">
        <v>1.5</v>
      </c>
      <c r="K277" s="111">
        <v>1.4</v>
      </c>
      <c r="L277" s="78" t="s">
        <v>115</v>
      </c>
      <c r="M277" s="113" t="s">
        <v>212</v>
      </c>
      <c r="N277" s="112" t="s">
        <v>153</v>
      </c>
      <c r="O277" s="163" t="str">
        <f t="shared" si="148"/>
        <v>G2</v>
      </c>
      <c r="P277" s="163" t="str">
        <f t="shared" si="149"/>
        <v>Wapno kredowe (typ 06a–09a)</v>
      </c>
      <c r="BA277" s="78" t="s">
        <v>221</v>
      </c>
      <c r="BB277" s="79" t="s">
        <v>213</v>
      </c>
    </row>
    <row r="278" spans="1:65" ht="51" hidden="1" x14ac:dyDescent="0.2">
      <c r="A278" s="78" t="s">
        <v>221</v>
      </c>
      <c r="B278" s="79" t="s">
        <v>213</v>
      </c>
      <c r="C278" s="78" t="s">
        <v>214</v>
      </c>
      <c r="D278" s="78" t="s">
        <v>215</v>
      </c>
      <c r="E278" s="78" t="s">
        <v>209</v>
      </c>
      <c r="F278" s="111">
        <v>50</v>
      </c>
      <c r="G278" s="111">
        <v>15</v>
      </c>
      <c r="H278" s="111">
        <v>0.55000000000000004</v>
      </c>
      <c r="I278" s="111">
        <v>0.6</v>
      </c>
      <c r="J278" s="111">
        <v>4</v>
      </c>
      <c r="K278" s="111">
        <v>0.7</v>
      </c>
      <c r="L278" s="78" t="s">
        <v>216</v>
      </c>
      <c r="M278" s="113" t="s">
        <v>217</v>
      </c>
      <c r="N278" s="112" t="s">
        <v>173</v>
      </c>
      <c r="O278" s="163" t="str">
        <f t="shared" si="148"/>
        <v>G3</v>
      </c>
      <c r="P278" s="163" t="str">
        <f t="shared" si="149"/>
        <v>Wapno wapniowo-magnezowe</v>
      </c>
      <c r="BA278" s="78" t="s">
        <v>223</v>
      </c>
      <c r="BB278" s="79" t="s">
        <v>224</v>
      </c>
    </row>
    <row r="279" spans="1:65" ht="38.25" hidden="1" x14ac:dyDescent="0.2">
      <c r="A279" s="78" t="s">
        <v>223</v>
      </c>
      <c r="B279" s="79" t="s">
        <v>224</v>
      </c>
      <c r="L279" s="114" t="s">
        <v>257</v>
      </c>
      <c r="M279" s="114" t="s">
        <v>257</v>
      </c>
      <c r="N279" s="114" t="s">
        <v>257</v>
      </c>
    </row>
    <row r="280" spans="1:65" ht="51" hidden="1" x14ac:dyDescent="0.2">
      <c r="A280" s="20"/>
      <c r="B280" s="34" t="s">
        <v>128</v>
      </c>
      <c r="C280" s="34" t="s">
        <v>129</v>
      </c>
      <c r="D280" s="34" t="s">
        <v>130</v>
      </c>
      <c r="E280" s="34" t="s">
        <v>107</v>
      </c>
      <c r="F280" s="90" t="s">
        <v>167</v>
      </c>
      <c r="G280" s="90" t="s">
        <v>168</v>
      </c>
      <c r="H280" s="90" t="s">
        <v>109</v>
      </c>
      <c r="I280" s="90" t="s">
        <v>131</v>
      </c>
      <c r="J280" s="90" t="s">
        <v>110</v>
      </c>
      <c r="K280" s="90" t="s">
        <v>111</v>
      </c>
      <c r="L280" s="34" t="s">
        <v>132</v>
      </c>
      <c r="M280" s="34" t="s">
        <v>112</v>
      </c>
    </row>
    <row r="285" spans="1:65" x14ac:dyDescent="0.2">
      <c r="F285" s="64"/>
      <c r="G285" s="64"/>
    </row>
    <row r="286" spans="1:65" x14ac:dyDescent="0.2">
      <c r="F286" s="64"/>
      <c r="G286" s="64"/>
    </row>
    <row r="287" spans="1:65" x14ac:dyDescent="0.2">
      <c r="F287" s="64"/>
      <c r="G287" s="64"/>
    </row>
  </sheetData>
  <sheetProtection algorithmName="SHA-512" hashValue="v+Nkd1pGOTp/lr3hM8R/Ky2sjpoGqzXAOjcfv41shuE0iXp53cH4uMKdQ+Cloynzg3kL0vmLGFHicUele1YBOQ==" saltValue="EJE1xK7LucuPF4CixVQFZQ==" spinCount="100000" sheet="1" objects="1" scenarios="1"/>
  <mergeCells count="18">
    <mergeCell ref="A1:R1"/>
    <mergeCell ref="G3:N3"/>
    <mergeCell ref="Q3:R4"/>
    <mergeCell ref="AR3:AW4"/>
    <mergeCell ref="G4:G5"/>
    <mergeCell ref="H4:H5"/>
    <mergeCell ref="I4:J4"/>
    <mergeCell ref="K4:L4"/>
    <mergeCell ref="M4:M5"/>
    <mergeCell ref="N4:N5"/>
    <mergeCell ref="AX3:BD4"/>
    <mergeCell ref="F94:I95"/>
    <mergeCell ref="O4:O5"/>
    <mergeCell ref="P4:P5"/>
    <mergeCell ref="G63:G64"/>
    <mergeCell ref="H63:H64"/>
    <mergeCell ref="I63:I64"/>
    <mergeCell ref="J63:J64"/>
  </mergeCells>
  <phoneticPr fontId="19" type="noConversion"/>
  <conditionalFormatting sqref="A6:A14">
    <cfRule type="expression" dxfId="5" priority="5">
      <formula>P6="NIE STOSOWAĆ"</formula>
    </cfRule>
    <cfRule type="expression" dxfId="4" priority="14">
      <formula>S6=1</formula>
    </cfRule>
  </conditionalFormatting>
  <conditionalFormatting sqref="A6:D14">
    <cfRule type="containsBlanks" dxfId="3" priority="1">
      <formula>LEN(TRIM(A6))=0</formula>
    </cfRule>
  </conditionalFormatting>
  <conditionalFormatting sqref="F96:F181">
    <cfRule type="containsBlanks" dxfId="2" priority="15">
      <formula>LEN(TRIM(F96))=0</formula>
    </cfRule>
  </conditionalFormatting>
  <conditionalFormatting sqref="F6:N14">
    <cfRule type="containsBlanks" dxfId="1" priority="2">
      <formula>LEN(TRIM(F6))=0</formula>
    </cfRule>
  </conditionalFormatting>
  <conditionalFormatting sqref="P6:P14">
    <cfRule type="cellIs" dxfId="0" priority="10" operator="equal">
      <formula>"NIE STOSOWAĆ"</formula>
    </cfRule>
  </conditionalFormatting>
  <dataValidations count="11">
    <dataValidation type="list" allowBlank="1" showInputMessage="1" showErrorMessage="1" sqref="B6:B13 C6:C14" xr:uid="{C9558B1B-2168-4DCA-9144-AF150CEAEC45}">
      <formula1>$B$66:$B$67</formula1>
    </dataValidation>
    <dataValidation type="list" allowBlank="1" showInputMessage="1" showErrorMessage="1" sqref="B14" xr:uid="{F30074E2-AE42-4F10-8FDD-9439AA51D7F6}">
      <formula1>$A$55:$A$59</formula1>
    </dataValidation>
    <dataValidation type="list" allowBlank="1" showInputMessage="1" showErrorMessage="1" sqref="I6:I14 K6:K14" xr:uid="{62E3BE91-7A46-47A4-A29D-6AA76C5DB9B5}">
      <formula1>$P$62:$P$66</formula1>
    </dataValidation>
    <dataValidation type="list" allowBlank="1" showInputMessage="1" showErrorMessage="1" sqref="WVQ983066 JE2 WLU983066 WBY983066 VSC983066 VIG983066 UYK983066 UOO983066 UES983066 TUW983066 TLA983066 TBE983066 SRI983066 SHM983066 RXQ983066 RNU983066 RDY983066 QUC983066 QKG983066 QAK983066 PQO983066 PGS983066 OWW983066 ONA983066 ODE983066 NTI983066 NJM983066 MZQ983066 MPU983066 MFY983066 LWC983066 LMG983066 LCK983066 KSO983066 KIS983066 JYW983066 JPA983066 JFE983066 IVI983066 ILM983066 IBQ983066 HRU983066 HHY983066 GYC983066 GOG983066 GEK983066 FUO983066 FKS983066 FAW983066 ERA983066 EHE983066 DXI983066 DNM983066 DDQ983066 CTU983066 CJY983066 CAC983066 BQG983066 BGK983066 AWO983066 AMS983066 ACW983066 TA983066 JE983066 H983066 WVQ917530 WLU917530 WBY917530 VSC917530 VIG917530 UYK917530 UOO917530 UES917530 TUW917530 TLA917530 TBE917530 SRI917530 SHM917530 RXQ917530 RNU917530 RDY917530 QUC917530 QKG917530 QAK917530 PQO917530 PGS917530 OWW917530 ONA917530 ODE917530 NTI917530 NJM917530 MZQ917530 MPU917530 MFY917530 LWC917530 LMG917530 LCK917530 KSO917530 KIS917530 JYW917530 JPA917530 JFE917530 IVI917530 ILM917530 IBQ917530 HRU917530 HHY917530 GYC917530 GOG917530 GEK917530 FUO917530 FKS917530 FAW917530 ERA917530 EHE917530 DXI917530 DNM917530 DDQ917530 CTU917530 CJY917530 CAC917530 BQG917530 BGK917530 AWO917530 AMS917530 ACW917530 TA917530 JE917530 H917530 WVQ851994 WLU851994 WBY851994 VSC851994 VIG851994 UYK851994 UOO851994 UES851994 TUW851994 TLA851994 TBE851994 SRI851994 SHM851994 RXQ851994 RNU851994 RDY851994 QUC851994 QKG851994 QAK851994 PQO851994 PGS851994 OWW851994 ONA851994 ODE851994 NTI851994 NJM851994 MZQ851994 MPU851994 MFY851994 LWC851994 LMG851994 LCK851994 KSO851994 KIS851994 JYW851994 JPA851994 JFE851994 IVI851994 ILM851994 IBQ851994 HRU851994 HHY851994 GYC851994 GOG851994 GEK851994 FUO851994 FKS851994 FAW851994 ERA851994 EHE851994 DXI851994 DNM851994 DDQ851994 CTU851994 CJY851994 CAC851994 BQG851994 BGK851994 AWO851994 AMS851994 ACW851994 TA851994 JE851994 H851994 WVQ786458 WLU786458 WBY786458 VSC786458 VIG786458 UYK786458 UOO786458 UES786458 TUW786458 TLA786458 TBE786458 SRI786458 SHM786458 RXQ786458 RNU786458 RDY786458 QUC786458 QKG786458 QAK786458 PQO786458 PGS786458 OWW786458 ONA786458 ODE786458 NTI786458 NJM786458 MZQ786458 MPU786458 MFY786458 LWC786458 LMG786458 LCK786458 KSO786458 KIS786458 JYW786458 JPA786458 JFE786458 IVI786458 ILM786458 IBQ786458 HRU786458 HHY786458 GYC786458 GOG786458 GEK786458 FUO786458 FKS786458 FAW786458 ERA786458 EHE786458 DXI786458 DNM786458 DDQ786458 CTU786458 CJY786458 CAC786458 BQG786458 BGK786458 AWO786458 AMS786458 ACW786458 TA786458 JE786458 H786458 WVQ720922 WLU720922 WBY720922 VSC720922 VIG720922 UYK720922 UOO720922 UES720922 TUW720922 TLA720922 TBE720922 SRI720922 SHM720922 RXQ720922 RNU720922 RDY720922 QUC720922 QKG720922 QAK720922 PQO720922 PGS720922 OWW720922 ONA720922 ODE720922 NTI720922 NJM720922 MZQ720922 MPU720922 MFY720922 LWC720922 LMG720922 LCK720922 KSO720922 KIS720922 JYW720922 JPA720922 JFE720922 IVI720922 ILM720922 IBQ720922 HRU720922 HHY720922 GYC720922 GOG720922 GEK720922 FUO720922 FKS720922 FAW720922 ERA720922 EHE720922 DXI720922 DNM720922 DDQ720922 CTU720922 CJY720922 CAC720922 BQG720922 BGK720922 AWO720922 AMS720922 ACW720922 TA720922 JE720922 H720922 WVQ655386 WLU655386 WBY655386 VSC655386 VIG655386 UYK655386 UOO655386 UES655386 TUW655386 TLA655386 TBE655386 SRI655386 SHM655386 RXQ655386 RNU655386 RDY655386 QUC655386 QKG655386 QAK655386 PQO655386 PGS655386 OWW655386 ONA655386 ODE655386 NTI655386 NJM655386 MZQ655386 MPU655386 MFY655386 LWC655386 LMG655386 LCK655386 KSO655386 KIS655386 JYW655386 JPA655386 JFE655386 IVI655386 ILM655386 IBQ655386 HRU655386 HHY655386 GYC655386 GOG655386 GEK655386 FUO655386 FKS655386 FAW655386 ERA655386 EHE655386 DXI655386 DNM655386 DDQ655386 CTU655386 CJY655386 CAC655386 BQG655386 BGK655386 AWO655386 AMS655386 ACW655386 TA655386 JE655386 H655386 WVQ589850 WLU589850 WBY589850 VSC589850 VIG589850 UYK589850 UOO589850 UES589850 TUW589850 TLA589850 TBE589850 SRI589850 SHM589850 RXQ589850 RNU589850 RDY589850 QUC589850 QKG589850 QAK589850 PQO589850 PGS589850 OWW589850 ONA589850 ODE589850 NTI589850 NJM589850 MZQ589850 MPU589850 MFY589850 LWC589850 LMG589850 LCK589850 KSO589850 KIS589850 JYW589850 JPA589850 JFE589850 IVI589850 ILM589850 IBQ589850 HRU589850 HHY589850 GYC589850 GOG589850 GEK589850 FUO589850 FKS589850 FAW589850 ERA589850 EHE589850 DXI589850 DNM589850 DDQ589850 CTU589850 CJY589850 CAC589850 BQG589850 BGK589850 AWO589850 AMS589850 ACW589850 TA589850 JE589850 H589850 WVQ524314 WLU524314 WBY524314 VSC524314 VIG524314 UYK524314 UOO524314 UES524314 TUW524314 TLA524314 TBE524314 SRI524314 SHM524314 RXQ524314 RNU524314 RDY524314 QUC524314 QKG524314 QAK524314 PQO524314 PGS524314 OWW524314 ONA524314 ODE524314 NTI524314 NJM524314 MZQ524314 MPU524314 MFY524314 LWC524314 LMG524314 LCK524314 KSO524314 KIS524314 JYW524314 JPA524314 JFE524314 IVI524314 ILM524314 IBQ524314 HRU524314 HHY524314 GYC524314 GOG524314 GEK524314 FUO524314 FKS524314 FAW524314 ERA524314 EHE524314 DXI524314 DNM524314 DDQ524314 CTU524314 CJY524314 CAC524314 BQG524314 BGK524314 AWO524314 AMS524314 ACW524314 TA524314 JE524314 H524314 WVQ458778 WLU458778 WBY458778 VSC458778 VIG458778 UYK458778 UOO458778 UES458778 TUW458778 TLA458778 TBE458778 SRI458778 SHM458778 RXQ458778 RNU458778 RDY458778 QUC458778 QKG458778 QAK458778 PQO458778 PGS458778 OWW458778 ONA458778 ODE458778 NTI458778 NJM458778 MZQ458778 MPU458778 MFY458778 LWC458778 LMG458778 LCK458778 KSO458778 KIS458778 JYW458778 JPA458778 JFE458778 IVI458778 ILM458778 IBQ458778 HRU458778 HHY458778 GYC458778 GOG458778 GEK458778 FUO458778 FKS458778 FAW458778 ERA458778 EHE458778 DXI458778 DNM458778 DDQ458778 CTU458778 CJY458778 CAC458778 BQG458778 BGK458778 AWO458778 AMS458778 ACW458778 TA458778 JE458778 H458778 WVQ393242 WLU393242 WBY393242 VSC393242 VIG393242 UYK393242 UOO393242 UES393242 TUW393242 TLA393242 TBE393242 SRI393242 SHM393242 RXQ393242 RNU393242 RDY393242 QUC393242 QKG393242 QAK393242 PQO393242 PGS393242 OWW393242 ONA393242 ODE393242 NTI393242 NJM393242 MZQ393242 MPU393242 MFY393242 LWC393242 LMG393242 LCK393242 KSO393242 KIS393242 JYW393242 JPA393242 JFE393242 IVI393242 ILM393242 IBQ393242 HRU393242 HHY393242 GYC393242 GOG393242 GEK393242 FUO393242 FKS393242 FAW393242 ERA393242 EHE393242 DXI393242 DNM393242 DDQ393242 CTU393242 CJY393242 CAC393242 BQG393242 BGK393242 AWO393242 AMS393242 ACW393242 TA393242 JE393242 H393242 WVQ327706 WLU327706 WBY327706 VSC327706 VIG327706 UYK327706 UOO327706 UES327706 TUW327706 TLA327706 TBE327706 SRI327706 SHM327706 RXQ327706 RNU327706 RDY327706 QUC327706 QKG327706 QAK327706 PQO327706 PGS327706 OWW327706 ONA327706 ODE327706 NTI327706 NJM327706 MZQ327706 MPU327706 MFY327706 LWC327706 LMG327706 LCK327706 KSO327706 KIS327706 JYW327706 JPA327706 JFE327706 IVI327706 ILM327706 IBQ327706 HRU327706 HHY327706 GYC327706 GOG327706 GEK327706 FUO327706 FKS327706 FAW327706 ERA327706 EHE327706 DXI327706 DNM327706 DDQ327706 CTU327706 CJY327706 CAC327706 BQG327706 BGK327706 AWO327706 AMS327706 ACW327706 TA327706 JE327706 H327706 WVQ262170 WLU262170 WBY262170 VSC262170 VIG262170 UYK262170 UOO262170 UES262170 TUW262170 TLA262170 TBE262170 SRI262170 SHM262170 RXQ262170 RNU262170 RDY262170 QUC262170 QKG262170 QAK262170 PQO262170 PGS262170 OWW262170 ONA262170 ODE262170 NTI262170 NJM262170 MZQ262170 MPU262170 MFY262170 LWC262170 LMG262170 LCK262170 KSO262170 KIS262170 JYW262170 JPA262170 JFE262170 IVI262170 ILM262170 IBQ262170 HRU262170 HHY262170 GYC262170 GOG262170 GEK262170 FUO262170 FKS262170 FAW262170 ERA262170 EHE262170 DXI262170 DNM262170 DDQ262170 CTU262170 CJY262170 CAC262170 BQG262170 BGK262170 AWO262170 AMS262170 ACW262170 TA262170 JE262170 H262170 WVQ196634 WLU196634 WBY196634 VSC196634 VIG196634 UYK196634 UOO196634 UES196634 TUW196634 TLA196634 TBE196634 SRI196634 SHM196634 RXQ196634 RNU196634 RDY196634 QUC196634 QKG196634 QAK196634 PQO196634 PGS196634 OWW196634 ONA196634 ODE196634 NTI196634 NJM196634 MZQ196634 MPU196634 MFY196634 LWC196634 LMG196634 LCK196634 KSO196634 KIS196634 JYW196634 JPA196634 JFE196634 IVI196634 ILM196634 IBQ196634 HRU196634 HHY196634 GYC196634 GOG196634 GEK196634 FUO196634 FKS196634 FAW196634 ERA196634 EHE196634 DXI196634 DNM196634 DDQ196634 CTU196634 CJY196634 CAC196634 BQG196634 BGK196634 AWO196634 AMS196634 ACW196634 TA196634 JE196634 H196634 WVQ131098 WLU131098 WBY131098 VSC131098 VIG131098 UYK131098 UOO131098 UES131098 TUW131098 TLA131098 TBE131098 SRI131098 SHM131098 RXQ131098 RNU131098 RDY131098 QUC131098 QKG131098 QAK131098 PQO131098 PGS131098 OWW131098 ONA131098 ODE131098 NTI131098 NJM131098 MZQ131098 MPU131098 MFY131098 LWC131098 LMG131098 LCK131098 KSO131098 KIS131098 JYW131098 JPA131098 JFE131098 IVI131098 ILM131098 IBQ131098 HRU131098 HHY131098 GYC131098 GOG131098 GEK131098 FUO131098 FKS131098 FAW131098 ERA131098 EHE131098 DXI131098 DNM131098 DDQ131098 CTU131098 CJY131098 CAC131098 BQG131098 BGK131098 AWO131098 AMS131098 ACW131098 TA131098 JE131098 H131098 WVQ65562 WLU65562 WBY65562 VSC65562 VIG65562 UYK65562 UOO65562 UES65562 TUW65562 TLA65562 TBE65562 SRI65562 SHM65562 RXQ65562 RNU65562 RDY65562 QUC65562 QKG65562 QAK65562 PQO65562 PGS65562 OWW65562 ONA65562 ODE65562 NTI65562 NJM65562 MZQ65562 MPU65562 MFY65562 LWC65562 LMG65562 LCK65562 KSO65562 KIS65562 JYW65562 JPA65562 JFE65562 IVI65562 ILM65562 IBQ65562 HRU65562 HHY65562 GYC65562 GOG65562 GEK65562 FUO65562 FKS65562 FAW65562 ERA65562 EHE65562 DXI65562 DNM65562 DDQ65562 CTU65562 CJY65562 CAC65562 BQG65562 BGK65562 AWO65562 AMS65562 ACW65562 TA65562 JE65562 H65562 WVQ2 WLU2 WBY2 VSC2 VIG2 UYK2 UOO2 UES2 TUW2 TLA2 TBE2 SRI2 SHM2 RXQ2 RNU2 RDY2 QUC2 QKG2 QAK2 PQO2 PGS2 OWW2 ONA2 ODE2 NTI2 NJM2 MZQ2 MPU2 MFY2 LWC2 LMG2 LCK2 KSO2 KIS2 JYW2 JPA2 JFE2 IVI2 ILM2 IBQ2 HRU2 HHY2 GYC2 GOG2 GEK2 FUO2 FKS2 FAW2 ERA2 EHE2 DXI2 DNM2 DDQ2 CTU2 CJY2 CAC2 BQG2 BGK2 AWO2 AMS2 ACW2 TA2" xr:uid="{1EFB69CE-049D-41BB-B907-2880DFA1504F}">
      <formula1>OFFSET($G$65,0,0,1,COUNTA($G$65:$N$65))</formula1>
    </dataValidation>
    <dataValidation type="list" allowBlank="1" showInputMessage="1" showErrorMessage="1" sqref="N2 WVW983066 WMA983066 WCE983066 VSI983066 VIM983066 UYQ983066 UOU983066 UEY983066 TVC983066 TLG983066 TBK983066 SRO983066 SHS983066 RXW983066 ROA983066 REE983066 QUI983066 QKM983066 QAQ983066 PQU983066 PGY983066 OXC983066 ONG983066 ODK983066 NTO983066 NJS983066 MZW983066 MQA983066 MGE983066 LWI983066 LMM983066 LCQ983066 KSU983066 KIY983066 JZC983066 JPG983066 JFK983066 IVO983066 ILS983066 IBW983066 HSA983066 HIE983066 GYI983066 GOM983066 GEQ983066 FUU983066 FKY983066 FBC983066 ERG983066 EHK983066 DXO983066 DNS983066 DDW983066 CUA983066 CKE983066 CAI983066 BQM983066 BGQ983066 AWU983066 AMY983066 ADC983066 TG983066 JK983066 N983066 WVW917530 WMA917530 WCE917530 VSI917530 VIM917530 UYQ917530 UOU917530 UEY917530 TVC917530 TLG917530 TBK917530 SRO917530 SHS917530 RXW917530 ROA917530 REE917530 QUI917530 QKM917530 QAQ917530 PQU917530 PGY917530 OXC917530 ONG917530 ODK917530 NTO917530 NJS917530 MZW917530 MQA917530 MGE917530 LWI917530 LMM917530 LCQ917530 KSU917530 KIY917530 JZC917530 JPG917530 JFK917530 IVO917530 ILS917530 IBW917530 HSA917530 HIE917530 GYI917530 GOM917530 GEQ917530 FUU917530 FKY917530 FBC917530 ERG917530 EHK917530 DXO917530 DNS917530 DDW917530 CUA917530 CKE917530 CAI917530 BQM917530 BGQ917530 AWU917530 AMY917530 ADC917530 TG917530 JK917530 N917530 WVW851994 WMA851994 WCE851994 VSI851994 VIM851994 UYQ851994 UOU851994 UEY851994 TVC851994 TLG851994 TBK851994 SRO851994 SHS851994 RXW851994 ROA851994 REE851994 QUI851994 QKM851994 QAQ851994 PQU851994 PGY851994 OXC851994 ONG851994 ODK851994 NTO851994 NJS851994 MZW851994 MQA851994 MGE851994 LWI851994 LMM851994 LCQ851994 KSU851994 KIY851994 JZC851994 JPG851994 JFK851994 IVO851994 ILS851994 IBW851994 HSA851994 HIE851994 GYI851994 GOM851994 GEQ851994 FUU851994 FKY851994 FBC851994 ERG851994 EHK851994 DXO851994 DNS851994 DDW851994 CUA851994 CKE851994 CAI851994 BQM851994 BGQ851994 AWU851994 AMY851994 ADC851994 TG851994 JK851994 N851994 WVW786458 WMA786458 WCE786458 VSI786458 VIM786458 UYQ786458 UOU786458 UEY786458 TVC786458 TLG786458 TBK786458 SRO786458 SHS786458 RXW786458 ROA786458 REE786458 QUI786458 QKM786458 QAQ786458 PQU786458 PGY786458 OXC786458 ONG786458 ODK786458 NTO786458 NJS786458 MZW786458 MQA786458 MGE786458 LWI786458 LMM786458 LCQ786458 KSU786458 KIY786458 JZC786458 JPG786458 JFK786458 IVO786458 ILS786458 IBW786458 HSA786458 HIE786458 GYI786458 GOM786458 GEQ786458 FUU786458 FKY786458 FBC786458 ERG786458 EHK786458 DXO786458 DNS786458 DDW786458 CUA786458 CKE786458 CAI786458 BQM786458 BGQ786458 AWU786458 AMY786458 ADC786458 TG786458 JK786458 N786458 WVW720922 WMA720922 WCE720922 VSI720922 VIM720922 UYQ720922 UOU720922 UEY720922 TVC720922 TLG720922 TBK720922 SRO720922 SHS720922 RXW720922 ROA720922 REE720922 QUI720922 QKM720922 QAQ720922 PQU720922 PGY720922 OXC720922 ONG720922 ODK720922 NTO720922 NJS720922 MZW720922 MQA720922 MGE720922 LWI720922 LMM720922 LCQ720922 KSU720922 KIY720922 JZC720922 JPG720922 JFK720922 IVO720922 ILS720922 IBW720922 HSA720922 HIE720922 GYI720922 GOM720922 GEQ720922 FUU720922 FKY720922 FBC720922 ERG720922 EHK720922 DXO720922 DNS720922 DDW720922 CUA720922 CKE720922 CAI720922 BQM720922 BGQ720922 AWU720922 AMY720922 ADC720922 TG720922 JK720922 N720922 WVW655386 WMA655386 WCE655386 VSI655386 VIM655386 UYQ655386 UOU655386 UEY655386 TVC655386 TLG655386 TBK655386 SRO655386 SHS655386 RXW655386 ROA655386 REE655386 QUI655386 QKM655386 QAQ655386 PQU655386 PGY655386 OXC655386 ONG655386 ODK655386 NTO655386 NJS655386 MZW655386 MQA655386 MGE655386 LWI655386 LMM655386 LCQ655386 KSU655386 KIY655386 JZC655386 JPG655386 JFK655386 IVO655386 ILS655386 IBW655386 HSA655386 HIE655386 GYI655386 GOM655386 GEQ655386 FUU655386 FKY655386 FBC655386 ERG655386 EHK655386 DXO655386 DNS655386 DDW655386 CUA655386 CKE655386 CAI655386 BQM655386 BGQ655386 AWU655386 AMY655386 ADC655386 TG655386 JK655386 N655386 WVW589850 WMA589850 WCE589850 VSI589850 VIM589850 UYQ589850 UOU589850 UEY589850 TVC589850 TLG589850 TBK589850 SRO589850 SHS589850 RXW589850 ROA589850 REE589850 QUI589850 QKM589850 QAQ589850 PQU589850 PGY589850 OXC589850 ONG589850 ODK589850 NTO589850 NJS589850 MZW589850 MQA589850 MGE589850 LWI589850 LMM589850 LCQ589850 KSU589850 KIY589850 JZC589850 JPG589850 JFK589850 IVO589850 ILS589850 IBW589850 HSA589850 HIE589850 GYI589850 GOM589850 GEQ589850 FUU589850 FKY589850 FBC589850 ERG589850 EHK589850 DXO589850 DNS589850 DDW589850 CUA589850 CKE589850 CAI589850 BQM589850 BGQ589850 AWU589850 AMY589850 ADC589850 TG589850 JK589850 N589850 WVW524314 WMA524314 WCE524314 VSI524314 VIM524314 UYQ524314 UOU524314 UEY524314 TVC524314 TLG524314 TBK524314 SRO524314 SHS524314 RXW524314 ROA524314 REE524314 QUI524314 QKM524314 QAQ524314 PQU524314 PGY524314 OXC524314 ONG524314 ODK524314 NTO524314 NJS524314 MZW524314 MQA524314 MGE524314 LWI524314 LMM524314 LCQ524314 KSU524314 KIY524314 JZC524314 JPG524314 JFK524314 IVO524314 ILS524314 IBW524314 HSA524314 HIE524314 GYI524314 GOM524314 GEQ524314 FUU524314 FKY524314 FBC524314 ERG524314 EHK524314 DXO524314 DNS524314 DDW524314 CUA524314 CKE524314 CAI524314 BQM524314 BGQ524314 AWU524314 AMY524314 ADC524314 TG524314 JK524314 N524314 WVW458778 WMA458778 WCE458778 VSI458778 VIM458778 UYQ458778 UOU458778 UEY458778 TVC458778 TLG458778 TBK458778 SRO458778 SHS458778 RXW458778 ROA458778 REE458778 QUI458778 QKM458778 QAQ458778 PQU458778 PGY458778 OXC458778 ONG458778 ODK458778 NTO458778 NJS458778 MZW458778 MQA458778 MGE458778 LWI458778 LMM458778 LCQ458778 KSU458778 KIY458778 JZC458778 JPG458778 JFK458778 IVO458778 ILS458778 IBW458778 HSA458778 HIE458778 GYI458778 GOM458778 GEQ458778 FUU458778 FKY458778 FBC458778 ERG458778 EHK458778 DXO458778 DNS458778 DDW458778 CUA458778 CKE458778 CAI458778 BQM458778 BGQ458778 AWU458778 AMY458778 ADC458778 TG458778 JK458778 N458778 WVW393242 WMA393242 WCE393242 VSI393242 VIM393242 UYQ393242 UOU393242 UEY393242 TVC393242 TLG393242 TBK393242 SRO393242 SHS393242 RXW393242 ROA393242 REE393242 QUI393242 QKM393242 QAQ393242 PQU393242 PGY393242 OXC393242 ONG393242 ODK393242 NTO393242 NJS393242 MZW393242 MQA393242 MGE393242 LWI393242 LMM393242 LCQ393242 KSU393242 KIY393242 JZC393242 JPG393242 JFK393242 IVO393242 ILS393242 IBW393242 HSA393242 HIE393242 GYI393242 GOM393242 GEQ393242 FUU393242 FKY393242 FBC393242 ERG393242 EHK393242 DXO393242 DNS393242 DDW393242 CUA393242 CKE393242 CAI393242 BQM393242 BGQ393242 AWU393242 AMY393242 ADC393242 TG393242 JK393242 N393242 WVW327706 WMA327706 WCE327706 VSI327706 VIM327706 UYQ327706 UOU327706 UEY327706 TVC327706 TLG327706 TBK327706 SRO327706 SHS327706 RXW327706 ROA327706 REE327706 QUI327706 QKM327706 QAQ327706 PQU327706 PGY327706 OXC327706 ONG327706 ODK327706 NTO327706 NJS327706 MZW327706 MQA327706 MGE327706 LWI327706 LMM327706 LCQ327706 KSU327706 KIY327706 JZC327706 JPG327706 JFK327706 IVO327706 ILS327706 IBW327706 HSA327706 HIE327706 GYI327706 GOM327706 GEQ327706 FUU327706 FKY327706 FBC327706 ERG327706 EHK327706 DXO327706 DNS327706 DDW327706 CUA327706 CKE327706 CAI327706 BQM327706 BGQ327706 AWU327706 AMY327706 ADC327706 TG327706 JK327706 N327706 WVW262170 WMA262170 WCE262170 VSI262170 VIM262170 UYQ262170 UOU262170 UEY262170 TVC262170 TLG262170 TBK262170 SRO262170 SHS262170 RXW262170 ROA262170 REE262170 QUI262170 QKM262170 QAQ262170 PQU262170 PGY262170 OXC262170 ONG262170 ODK262170 NTO262170 NJS262170 MZW262170 MQA262170 MGE262170 LWI262170 LMM262170 LCQ262170 KSU262170 KIY262170 JZC262170 JPG262170 JFK262170 IVO262170 ILS262170 IBW262170 HSA262170 HIE262170 GYI262170 GOM262170 GEQ262170 FUU262170 FKY262170 FBC262170 ERG262170 EHK262170 DXO262170 DNS262170 DDW262170 CUA262170 CKE262170 CAI262170 BQM262170 BGQ262170 AWU262170 AMY262170 ADC262170 TG262170 JK262170 N262170 WVW196634 WMA196634 WCE196634 VSI196634 VIM196634 UYQ196634 UOU196634 UEY196634 TVC196634 TLG196634 TBK196634 SRO196634 SHS196634 RXW196634 ROA196634 REE196634 QUI196634 QKM196634 QAQ196634 PQU196634 PGY196634 OXC196634 ONG196634 ODK196634 NTO196634 NJS196634 MZW196634 MQA196634 MGE196634 LWI196634 LMM196634 LCQ196634 KSU196634 KIY196634 JZC196634 JPG196634 JFK196634 IVO196634 ILS196634 IBW196634 HSA196634 HIE196634 GYI196634 GOM196634 GEQ196634 FUU196634 FKY196634 FBC196634 ERG196634 EHK196634 DXO196634 DNS196634 DDW196634 CUA196634 CKE196634 CAI196634 BQM196634 BGQ196634 AWU196634 AMY196634 ADC196634 TG196634 JK196634 N196634 WVW131098 WMA131098 WCE131098 VSI131098 VIM131098 UYQ131098 UOU131098 UEY131098 TVC131098 TLG131098 TBK131098 SRO131098 SHS131098 RXW131098 ROA131098 REE131098 QUI131098 QKM131098 QAQ131098 PQU131098 PGY131098 OXC131098 ONG131098 ODK131098 NTO131098 NJS131098 MZW131098 MQA131098 MGE131098 LWI131098 LMM131098 LCQ131098 KSU131098 KIY131098 JZC131098 JPG131098 JFK131098 IVO131098 ILS131098 IBW131098 HSA131098 HIE131098 GYI131098 GOM131098 GEQ131098 FUU131098 FKY131098 FBC131098 ERG131098 EHK131098 DXO131098 DNS131098 DDW131098 CUA131098 CKE131098 CAI131098 BQM131098 BGQ131098 AWU131098 AMY131098 ADC131098 TG131098 JK131098 N131098 WVW65562 WMA65562 WCE65562 VSI65562 VIM65562 UYQ65562 UOU65562 UEY65562 TVC65562 TLG65562 TBK65562 SRO65562 SHS65562 RXW65562 ROA65562 REE65562 QUI65562 QKM65562 QAQ65562 PQU65562 PGY65562 OXC65562 ONG65562 ODK65562 NTO65562 NJS65562 MZW65562 MQA65562 MGE65562 LWI65562 LMM65562 LCQ65562 KSU65562 KIY65562 JZC65562 JPG65562 JFK65562 IVO65562 ILS65562 IBW65562 HSA65562 HIE65562 GYI65562 GOM65562 GEQ65562 FUU65562 FKY65562 FBC65562 ERG65562 EHK65562 DXO65562 DNS65562 DDW65562 CUA65562 CKE65562 CAI65562 BQM65562 BGQ65562 AWU65562 AMY65562 ADC65562 TG65562 JK65562 N65562 WVW2 WMA2 WCE2 VSI2 VIM2 UYQ2 UOU2 UEY2 TVC2 TLG2 TBK2 SRO2 SHS2 RXW2 ROA2 REE2 QUI2 QKM2 QAQ2 PQU2 PGY2 OXC2 ONG2 ODK2 NTO2 NJS2 MZW2 MQA2 MGE2 LWI2 LMM2 LCQ2 KSU2 KIY2 JZC2 JPG2 JFK2 IVO2 ILS2 IBW2 HSA2 HIE2 GYI2 GOM2 GEQ2 FUU2 FKY2 FBC2 ERG2 EHK2 DXO2 DNS2 DDW2 CUA2 CKE2 CAI2 BQM2 BGQ2 AWU2 AMY2 ADC2 TG2 JK2" xr:uid="{00A83187-7DE2-40D9-AEE6-57584FBD3FEA}">
      <formula1>$F$68:$F$72</formula1>
    </dataValidation>
    <dataValidation type="list" allowBlank="1" showInputMessage="1" showErrorMessage="1" sqref="D6:D14" xr:uid="{BD4BBE8B-35CA-4207-8D85-22C79FB4A142}">
      <formula1>$A$66:$A$72</formula1>
    </dataValidation>
    <dataValidation type="list" allowBlank="1" showInputMessage="1" showErrorMessage="1" promptTitle="Brakujące parametry wapna" prompt="Wybierz opcjonalnie" sqref="S3" xr:uid="{E5071E77-B064-431E-A186-64D7DAD37DEE}">
      <formula1>$C$55:$C$58</formula1>
    </dataValidation>
    <dataValidation type="list" allowBlank="1" showInputMessage="1" showErrorMessage="1" promptTitle="Podaj cel wapnowania" prompt="Wybierz opcjonalnie" sqref="S4" xr:uid="{7A3AEB71-51E0-4619-8230-FF2C065D8AE3}">
      <formula1>$B$192:$B$195</formula1>
    </dataValidation>
    <dataValidation type="list" allowBlank="1" showInputMessage="1" showErrorMessage="1" sqref="BC6:BC14" xr:uid="{98B40FCD-80CC-4B59-8ED0-65E37056BB90}">
      <formula1>OFFSET($G$65,1,MATCH($C6,$G$65:$N$65,0)-1,COUNTA(OFFSET($G$65,1,MATCH($C6,$G$65:$N$65,0)-1,27,1)),1)</formula1>
    </dataValidation>
    <dataValidation type="list" allowBlank="1" showInputMessage="1" showErrorMessage="1" sqref="I2 JH2 TD2 ACZ2 AMV2 AWR2 BGN2 BQJ2 CAF2 CKB2 CTX2 DDT2 DNP2 DXL2 EHH2 ERD2 FAZ2 FKV2 FUR2 GEN2 GOJ2 GYF2 HIB2 HRX2 IBT2 ILP2 IVL2 JFH2 JPD2 JYZ2 KIV2 KSR2 LCN2 LMJ2 LWF2 MGB2 MPX2 MZT2 NJP2 NTL2 ODH2 OND2 OWZ2 PGV2 PQR2 QAN2 QKJ2 QUF2 REB2 RNX2 RXT2 SHP2 SRL2 TBH2 TLD2 TUZ2 UEV2 UOR2 UYN2 VIJ2 VSF2 WCB2 WLX2 WVT2 K65562 JH65562 TD65562 ACZ65562 AMV65562 AWR65562 BGN65562 BQJ65562 CAF65562 CKB65562 CTX65562 DDT65562 DNP65562 DXL65562 EHH65562 ERD65562 FAZ65562 FKV65562 FUR65562 GEN65562 GOJ65562 GYF65562 HIB65562 HRX65562 IBT65562 ILP65562 IVL65562 JFH65562 JPD65562 JYZ65562 KIV65562 KSR65562 LCN65562 LMJ65562 LWF65562 MGB65562 MPX65562 MZT65562 NJP65562 NTL65562 ODH65562 OND65562 OWZ65562 PGV65562 PQR65562 QAN65562 QKJ65562 QUF65562 REB65562 RNX65562 RXT65562 SHP65562 SRL65562 TBH65562 TLD65562 TUZ65562 UEV65562 UOR65562 UYN65562 VIJ65562 VSF65562 WCB65562 WLX65562 WVT65562 K131098 JH131098 TD131098 ACZ131098 AMV131098 AWR131098 BGN131098 BQJ131098 CAF131098 CKB131098 CTX131098 DDT131098 DNP131098 DXL131098 EHH131098 ERD131098 FAZ131098 FKV131098 FUR131098 GEN131098 GOJ131098 GYF131098 HIB131098 HRX131098 IBT131098 ILP131098 IVL131098 JFH131098 JPD131098 JYZ131098 KIV131098 KSR131098 LCN131098 LMJ131098 LWF131098 MGB131098 MPX131098 MZT131098 NJP131098 NTL131098 ODH131098 OND131098 OWZ131098 PGV131098 PQR131098 QAN131098 QKJ131098 QUF131098 REB131098 RNX131098 RXT131098 SHP131098 SRL131098 TBH131098 TLD131098 TUZ131098 UEV131098 UOR131098 UYN131098 VIJ131098 VSF131098 WCB131098 WLX131098 WVT131098 K196634 JH196634 TD196634 ACZ196634 AMV196634 AWR196634 BGN196634 BQJ196634 CAF196634 CKB196634 CTX196634 DDT196634 DNP196634 DXL196634 EHH196634 ERD196634 FAZ196634 FKV196634 FUR196634 GEN196634 GOJ196634 GYF196634 HIB196634 HRX196634 IBT196634 ILP196634 IVL196634 JFH196634 JPD196634 JYZ196634 KIV196634 KSR196634 LCN196634 LMJ196634 LWF196634 MGB196634 MPX196634 MZT196634 NJP196634 NTL196634 ODH196634 OND196634 OWZ196634 PGV196634 PQR196634 QAN196634 QKJ196634 QUF196634 REB196634 RNX196634 RXT196634 SHP196634 SRL196634 TBH196634 TLD196634 TUZ196634 UEV196634 UOR196634 UYN196634 VIJ196634 VSF196634 WCB196634 WLX196634 WVT196634 K262170 JH262170 TD262170 ACZ262170 AMV262170 AWR262170 BGN262170 BQJ262170 CAF262170 CKB262170 CTX262170 DDT262170 DNP262170 DXL262170 EHH262170 ERD262170 FAZ262170 FKV262170 FUR262170 GEN262170 GOJ262170 GYF262170 HIB262170 HRX262170 IBT262170 ILP262170 IVL262170 JFH262170 JPD262170 JYZ262170 KIV262170 KSR262170 LCN262170 LMJ262170 LWF262170 MGB262170 MPX262170 MZT262170 NJP262170 NTL262170 ODH262170 OND262170 OWZ262170 PGV262170 PQR262170 QAN262170 QKJ262170 QUF262170 REB262170 RNX262170 RXT262170 SHP262170 SRL262170 TBH262170 TLD262170 TUZ262170 UEV262170 UOR262170 UYN262170 VIJ262170 VSF262170 WCB262170 WLX262170 WVT262170 K327706 JH327706 TD327706 ACZ327706 AMV327706 AWR327706 BGN327706 BQJ327706 CAF327706 CKB327706 CTX327706 DDT327706 DNP327706 DXL327706 EHH327706 ERD327706 FAZ327706 FKV327706 FUR327706 GEN327706 GOJ327706 GYF327706 HIB327706 HRX327706 IBT327706 ILP327706 IVL327706 JFH327706 JPD327706 JYZ327706 KIV327706 KSR327706 LCN327706 LMJ327706 LWF327706 MGB327706 MPX327706 MZT327706 NJP327706 NTL327706 ODH327706 OND327706 OWZ327706 PGV327706 PQR327706 QAN327706 QKJ327706 QUF327706 REB327706 RNX327706 RXT327706 SHP327706 SRL327706 TBH327706 TLD327706 TUZ327706 UEV327706 UOR327706 UYN327706 VIJ327706 VSF327706 WCB327706 WLX327706 WVT327706 K393242 JH393242 TD393242 ACZ393242 AMV393242 AWR393242 BGN393242 BQJ393242 CAF393242 CKB393242 CTX393242 DDT393242 DNP393242 DXL393242 EHH393242 ERD393242 FAZ393242 FKV393242 FUR393242 GEN393242 GOJ393242 GYF393242 HIB393242 HRX393242 IBT393242 ILP393242 IVL393242 JFH393242 JPD393242 JYZ393242 KIV393242 KSR393242 LCN393242 LMJ393242 LWF393242 MGB393242 MPX393242 MZT393242 NJP393242 NTL393242 ODH393242 OND393242 OWZ393242 PGV393242 PQR393242 QAN393242 QKJ393242 QUF393242 REB393242 RNX393242 RXT393242 SHP393242 SRL393242 TBH393242 TLD393242 TUZ393242 UEV393242 UOR393242 UYN393242 VIJ393242 VSF393242 WCB393242 WLX393242 WVT393242 K458778 JH458778 TD458778 ACZ458778 AMV458778 AWR458778 BGN458778 BQJ458778 CAF458778 CKB458778 CTX458778 DDT458778 DNP458778 DXL458778 EHH458778 ERD458778 FAZ458778 FKV458778 FUR458778 GEN458778 GOJ458778 GYF458778 HIB458778 HRX458778 IBT458778 ILP458778 IVL458778 JFH458778 JPD458778 JYZ458778 KIV458778 KSR458778 LCN458778 LMJ458778 LWF458778 MGB458778 MPX458778 MZT458778 NJP458778 NTL458778 ODH458778 OND458778 OWZ458778 PGV458778 PQR458778 QAN458778 QKJ458778 QUF458778 REB458778 RNX458778 RXT458778 SHP458778 SRL458778 TBH458778 TLD458778 TUZ458778 UEV458778 UOR458778 UYN458778 VIJ458778 VSF458778 WCB458778 WLX458778 WVT458778 K524314 JH524314 TD524314 ACZ524314 AMV524314 AWR524314 BGN524314 BQJ524314 CAF524314 CKB524314 CTX524314 DDT524314 DNP524314 DXL524314 EHH524314 ERD524314 FAZ524314 FKV524314 FUR524314 GEN524314 GOJ524314 GYF524314 HIB524314 HRX524314 IBT524314 ILP524314 IVL524314 JFH524314 JPD524314 JYZ524314 KIV524314 KSR524314 LCN524314 LMJ524314 LWF524314 MGB524314 MPX524314 MZT524314 NJP524314 NTL524314 ODH524314 OND524314 OWZ524314 PGV524314 PQR524314 QAN524314 QKJ524314 QUF524314 REB524314 RNX524314 RXT524314 SHP524314 SRL524314 TBH524314 TLD524314 TUZ524314 UEV524314 UOR524314 UYN524314 VIJ524314 VSF524314 WCB524314 WLX524314 WVT524314 K589850 JH589850 TD589850 ACZ589850 AMV589850 AWR589850 BGN589850 BQJ589850 CAF589850 CKB589850 CTX589850 DDT589850 DNP589850 DXL589850 EHH589850 ERD589850 FAZ589850 FKV589850 FUR589850 GEN589850 GOJ589850 GYF589850 HIB589850 HRX589850 IBT589850 ILP589850 IVL589850 JFH589850 JPD589850 JYZ589850 KIV589850 KSR589850 LCN589850 LMJ589850 LWF589850 MGB589850 MPX589850 MZT589850 NJP589850 NTL589850 ODH589850 OND589850 OWZ589850 PGV589850 PQR589850 QAN589850 QKJ589850 QUF589850 REB589850 RNX589850 RXT589850 SHP589850 SRL589850 TBH589850 TLD589850 TUZ589850 UEV589850 UOR589850 UYN589850 VIJ589850 VSF589850 WCB589850 WLX589850 WVT589850 K655386 JH655386 TD655386 ACZ655386 AMV655386 AWR655386 BGN655386 BQJ655386 CAF655386 CKB655386 CTX655386 DDT655386 DNP655386 DXL655386 EHH655386 ERD655386 FAZ655386 FKV655386 FUR655386 GEN655386 GOJ655386 GYF655386 HIB655386 HRX655386 IBT655386 ILP655386 IVL655386 JFH655386 JPD655386 JYZ655386 KIV655386 KSR655386 LCN655386 LMJ655386 LWF655386 MGB655386 MPX655386 MZT655386 NJP655386 NTL655386 ODH655386 OND655386 OWZ655386 PGV655386 PQR655386 QAN655386 QKJ655386 QUF655386 REB655386 RNX655386 RXT655386 SHP655386 SRL655386 TBH655386 TLD655386 TUZ655386 UEV655386 UOR655386 UYN655386 VIJ655386 VSF655386 WCB655386 WLX655386 WVT655386 K720922 JH720922 TD720922 ACZ720922 AMV720922 AWR720922 BGN720922 BQJ720922 CAF720922 CKB720922 CTX720922 DDT720922 DNP720922 DXL720922 EHH720922 ERD720922 FAZ720922 FKV720922 FUR720922 GEN720922 GOJ720922 GYF720922 HIB720922 HRX720922 IBT720922 ILP720922 IVL720922 JFH720922 JPD720922 JYZ720922 KIV720922 KSR720922 LCN720922 LMJ720922 LWF720922 MGB720922 MPX720922 MZT720922 NJP720922 NTL720922 ODH720922 OND720922 OWZ720922 PGV720922 PQR720922 QAN720922 QKJ720922 QUF720922 REB720922 RNX720922 RXT720922 SHP720922 SRL720922 TBH720922 TLD720922 TUZ720922 UEV720922 UOR720922 UYN720922 VIJ720922 VSF720922 WCB720922 WLX720922 WVT720922 K786458 JH786458 TD786458 ACZ786458 AMV786458 AWR786458 BGN786458 BQJ786458 CAF786458 CKB786458 CTX786458 DDT786458 DNP786458 DXL786458 EHH786458 ERD786458 FAZ786458 FKV786458 FUR786458 GEN786458 GOJ786458 GYF786458 HIB786458 HRX786458 IBT786458 ILP786458 IVL786458 JFH786458 JPD786458 JYZ786458 KIV786458 KSR786458 LCN786458 LMJ786458 LWF786458 MGB786458 MPX786458 MZT786458 NJP786458 NTL786458 ODH786458 OND786458 OWZ786458 PGV786458 PQR786458 QAN786458 QKJ786458 QUF786458 REB786458 RNX786458 RXT786458 SHP786458 SRL786458 TBH786458 TLD786458 TUZ786458 UEV786458 UOR786458 UYN786458 VIJ786458 VSF786458 WCB786458 WLX786458 WVT786458 K851994 JH851994 TD851994 ACZ851994 AMV851994 AWR851994 BGN851994 BQJ851994 CAF851994 CKB851994 CTX851994 DDT851994 DNP851994 DXL851994 EHH851994 ERD851994 FAZ851994 FKV851994 FUR851994 GEN851994 GOJ851994 GYF851994 HIB851994 HRX851994 IBT851994 ILP851994 IVL851994 JFH851994 JPD851994 JYZ851994 KIV851994 KSR851994 LCN851994 LMJ851994 LWF851994 MGB851994 MPX851994 MZT851994 NJP851994 NTL851994 ODH851994 OND851994 OWZ851994 PGV851994 PQR851994 QAN851994 QKJ851994 QUF851994 REB851994 RNX851994 RXT851994 SHP851994 SRL851994 TBH851994 TLD851994 TUZ851994 UEV851994 UOR851994 UYN851994 VIJ851994 VSF851994 WCB851994 WLX851994 WVT851994 K917530 JH917530 TD917530 ACZ917530 AMV917530 AWR917530 BGN917530 BQJ917530 CAF917530 CKB917530 CTX917530 DDT917530 DNP917530 DXL917530 EHH917530 ERD917530 FAZ917530 FKV917530 FUR917530 GEN917530 GOJ917530 GYF917530 HIB917530 HRX917530 IBT917530 ILP917530 IVL917530 JFH917530 JPD917530 JYZ917530 KIV917530 KSR917530 LCN917530 LMJ917530 LWF917530 MGB917530 MPX917530 MZT917530 NJP917530 NTL917530 ODH917530 OND917530 OWZ917530 PGV917530 PQR917530 QAN917530 QKJ917530 QUF917530 REB917530 RNX917530 RXT917530 SHP917530 SRL917530 TBH917530 TLD917530 TUZ917530 UEV917530 UOR917530 UYN917530 VIJ917530 VSF917530 WCB917530 WLX917530 WVT917530 K983066 JH983066 TD983066 ACZ983066 AMV983066 AWR983066 BGN983066 BQJ983066 CAF983066 CKB983066 CTX983066 DDT983066 DNP983066 DXL983066 EHH983066 ERD983066 FAZ983066 FKV983066 FUR983066 GEN983066 GOJ983066 GYF983066 HIB983066 HRX983066 IBT983066 ILP983066 IVL983066 JFH983066 JPD983066 JYZ983066 KIV983066 KSR983066 LCN983066 LMJ983066 LWF983066 MGB983066 MPX983066 MZT983066 NJP983066 NTL983066 ODH983066 OND983066 OWZ983066 PGV983066 PQR983066 QAN983066 QKJ983066 QUF983066 REB983066 RNX983066 RXT983066 SHP983066 SRL983066 TBH983066 TLD983066 TUZ983066 UEV983066 UOR983066 UYN983066 VIJ983066 VSF983066 WCB983066 WLX983066 WVT983066" xr:uid="{F1FDAA40-16C0-4938-A9F6-7BACFC4C4F82}">
      <formula1>OFFSET($G$65,1,MATCH($D$2,$G$65:$N$65,0)-1,COUNTA(OFFSET($G$65,1,MATCH($D$2,$G$65:$N$65,0)-1,27,1)),1)</formula1>
    </dataValidation>
    <dataValidation type="list" allowBlank="1" showInputMessage="1" showErrorMessage="1" sqref="D2" xr:uid="{4993F727-C407-4E7F-A523-5769191114E2}">
      <formula1>$F$62:$F$66</formula1>
    </dataValidation>
  </dataValidations>
  <pageMargins left="0.75" right="0.75" top="1" bottom="1" header="0.5" footer="0.5"/>
  <pageSetup paperSize="9" scale="43" orientation="landscape" r:id="rId1"/>
  <headerFooter alignWithMargins="0"/>
  <rowBreaks count="1" manualBreakCount="1">
    <brk id="31" max="16383" man="1"/>
  </rowBreaks>
  <colBreaks count="1" manualBreakCount="1">
    <brk id="19"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TABELA+WYKRES</vt:lpstr>
      <vt:lpstr>'TABELA+WYKRES'!Obszar_wydruku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 Antoszczak</dc:creator>
  <cp:lastModifiedBy>M. Szaroleta</cp:lastModifiedBy>
  <cp:lastPrinted>2026-07-09T08:37:59Z</cp:lastPrinted>
  <dcterms:created xsi:type="dcterms:W3CDTF">2026-06-29T11:26:32Z</dcterms:created>
  <dcterms:modified xsi:type="dcterms:W3CDTF">2026-07-13T05:36:45Z</dcterms:modified>
</cp:coreProperties>
</file>